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E:\Documents\Business\Customers\Andrea Boddy\Angelus Carbon Calculator\"/>
    </mc:Choice>
  </mc:AlternateContent>
  <xr:revisionPtr revIDLastSave="0" documentId="13_ncr:1_{417A113B-5B16-4849-BF51-A49CB911A0EF}" xr6:coauthVersionLast="47" xr6:coauthVersionMax="47" xr10:uidLastSave="{00000000-0000-0000-0000-000000000000}"/>
  <workbookProtection workbookPassword="CFCB" lockStructure="1"/>
  <bookViews>
    <workbookView xWindow="-120" yWindow="-120" windowWidth="38640" windowHeight="15720" tabRatio="793" xr2:uid="{00000000-000D-0000-FFFF-FFFF00000000}"/>
  </bookViews>
  <sheets>
    <sheet name="Inputs&amp;Outputs" sheetId="14" r:id="rId1"/>
    <sheet name="Choices" sheetId="3" r:id="rId2"/>
    <sheet name="Calculations" sheetId="10" r:id="rId3"/>
    <sheet name="EPD" sheetId="2" r:id="rId4"/>
    <sheet name="Mortar" sheetId="12" r:id="rId5"/>
    <sheet name="Grout" sheetId="11" r:id="rId6"/>
    <sheet name="Assumptions" sheetId="9" r:id="rId7"/>
  </sheets>
  <definedNames>
    <definedName name="BlockHeight">Calculations!$AP$4</definedName>
    <definedName name="BlockLength">Calculations!$AP$5</definedName>
    <definedName name="BlockNum">Calculations!$F$8</definedName>
    <definedName name="BlockPerM2">Calculations!$AP$10</definedName>
    <definedName name="BlockShapeNum">Choices!$D$13</definedName>
    <definedName name="BlockSizeNum">Choices!$D$16</definedName>
    <definedName name="BlockTypeNum">Choices!$D$5</definedName>
    <definedName name="BlockUnitArea">Calculations!$AP$9</definedName>
    <definedName name="BlockUnitHeight">Calculations!$AP$4</definedName>
    <definedName name="BlockUnitLength">Calculations!$AP$5</definedName>
    <definedName name="ConcreteSandCO2">EPD!$E$17</definedName>
    <definedName name="CSandCO2">EPD!$E$17</definedName>
    <definedName name="CSandCO2Input">'Inputs&amp;Outputs'!$G$36</definedName>
    <definedName name="FlyAshCO2">EPD!$E$11</definedName>
    <definedName name="Grout">Choices!#REF!</definedName>
    <definedName name="Grout0CO2">Grout!$N$8</definedName>
    <definedName name="Grout2555CO2">Grout!$N$30</definedName>
    <definedName name="Grout25CO2">Grout!$N$15</definedName>
    <definedName name="Grout40CO2">Grout!$N$22</definedName>
    <definedName name="GroutChoice">Choices!$D$20</definedName>
    <definedName name="GroutCO2">Grout!$N$8</definedName>
    <definedName name="GroutDensity100PC">Grout!$J$8</definedName>
    <definedName name="GroutDensity25FA">Grout!$J$15</definedName>
    <definedName name="GroutDensity25FA55Slag">Grout!$J$30</definedName>
    <definedName name="GroutDensity40FA">Grout!$J$22</definedName>
    <definedName name="GroutType">Choices!$D$20</definedName>
    <definedName name="HorizontalRebarNumber">Choices!$D$33</definedName>
    <definedName name="InsThickness">Calculations!$E$24</definedName>
    <definedName name="kgMortarPerBag">Mortar!#REF!</definedName>
    <definedName name="LimeCO2">EPD!$E$9</definedName>
    <definedName name="LWCO2">EPD!#REF!</definedName>
    <definedName name="m3perft3">Mortar!$F$2</definedName>
    <definedName name="M3ToFt3">Grout!$F$2</definedName>
    <definedName name="MortarDensity">Mortar!#REF!</definedName>
    <definedName name="MortarJointDepth">Calculations!$AN$19</definedName>
    <definedName name="MortarJointWidth">Calculations!$AN$24</definedName>
    <definedName name="MortarMCO2">Mortar!$P$17</definedName>
    <definedName name="MortarMDensity">Mortar!$L$17</definedName>
    <definedName name="MortarSCO2">Mortar!$P$8</definedName>
    <definedName name="MortarSDensity">Mortar!$L$8</definedName>
    <definedName name="MortarTypeNumber">Choices!$D$38</definedName>
    <definedName name="MSandCO2">EPD!$E$15</definedName>
    <definedName name="MSandCO2Input">'Inputs&amp;Outputs'!$G$34</definedName>
    <definedName name="NDCO2">Choices!$J$5</definedName>
    <definedName name="OPCCO2Grout">Choices!$J$41</definedName>
    <definedName name="OPCCO2Mortar">Choices!#REF!</definedName>
    <definedName name="OPCTypeNumberGrout">Choices!$D$41</definedName>
    <definedName name="OPCTypeNumberMortar">Choices!#REF!</definedName>
    <definedName name="PercentMasonrySand">Grout!$L$5</definedName>
    <definedName name="PercentPortlandCement">Grout!$L$4</definedName>
    <definedName name="Rebar">Choices!#REF!</definedName>
    <definedName name="RebarCO2">EPD!$E$19</definedName>
    <definedName name="RebarNum">Choices!#REF!</definedName>
    <definedName name="ReinforcingArea">#REF!</definedName>
    <definedName name="Size">Choices!$H$16</definedName>
    <definedName name="SlagCO2">EPD!$E$13</definedName>
    <definedName name="SquareMetres">Calculations!$D$11</definedName>
    <definedName name="SteelDensity">#REF!</definedName>
    <definedName name="ver">'Inputs&amp;Outputs'!$K$1</definedName>
    <definedName name="VerticalRebarNumber">Choices!$D$25</definedName>
    <definedName name="VolThreeHundredDOE">Calculations!$AL$8</definedName>
    <definedName name="VolThreeHundredSOE">Calculations!$AI$8</definedName>
    <definedName name="VolTwoFiftyDOE">Calculations!$AK$8</definedName>
    <definedName name="VolTwoFiftySOE">Calculations!$AH$8</definedName>
    <definedName name="VolTwoHundredDOE">Calculations!$AJ$8</definedName>
    <definedName name="VolTwoHundredSOE">Calculations!$AG$8</definedName>
    <definedName name="WallArea">'Inputs&amp;Outputs'!$G$22</definedName>
    <definedName name="WallType">Choices!$H$5</definedName>
    <definedName name="WallTypeNum">Choices!$D$5</definedName>
    <definedName name="Waste">Assumptions!$D$5</definedName>
    <definedName name="Weight">Choices!$H$13</definedName>
    <definedName name="Zone">Choices!$H$20</definedName>
    <definedName name="ZoneNum">Choices!$D$20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0" l="1"/>
  <c r="F37" i="10"/>
  <c r="F36" i="10"/>
  <c r="F34" i="10"/>
  <c r="F31" i="10"/>
  <c r="F30" i="10"/>
  <c r="F29" i="10"/>
  <c r="F28" i="10"/>
  <c r="F27" i="10"/>
  <c r="F25" i="10"/>
  <c r="F22" i="10"/>
  <c r="F21" i="10"/>
  <c r="F20" i="10"/>
  <c r="F39" i="10"/>
  <c r="F35" i="10"/>
  <c r="F26" i="10"/>
  <c r="F19" i="10"/>
  <c r="AG19" i="10"/>
  <c r="AL19" i="10"/>
  <c r="M10" i="11" l="1"/>
  <c r="N12" i="11"/>
  <c r="N11" i="11"/>
  <c r="H20" i="3"/>
  <c r="G20" i="3"/>
  <c r="D18" i="10"/>
  <c r="H5" i="3"/>
  <c r="G13" i="3"/>
  <c r="H13" i="3"/>
  <c r="G16" i="3"/>
  <c r="H16" i="3"/>
  <c r="H25" i="3"/>
  <c r="H33" i="3"/>
  <c r="G38" i="3"/>
  <c r="H41" i="3"/>
  <c r="C10" i="11" s="1"/>
  <c r="H38" i="3"/>
  <c r="C12" i="12" l="1"/>
  <c r="C3" i="12"/>
  <c r="I38" i="14"/>
  <c r="P12" i="12"/>
  <c r="P3" i="12"/>
  <c r="P8" i="12" s="1"/>
  <c r="P17" i="12"/>
  <c r="P14" i="12"/>
  <c r="P5" i="12"/>
  <c r="N19" i="11"/>
  <c r="N27" i="11"/>
  <c r="N5" i="11"/>
  <c r="G41" i="3"/>
  <c r="C24" i="11"/>
  <c r="C32" i="14"/>
  <c r="J43" i="3"/>
  <c r="J42" i="3"/>
  <c r="J41" i="3" s="1"/>
  <c r="J33" i="3"/>
  <c r="N17" i="11" l="1"/>
  <c r="N10" i="11"/>
  <c r="I32" i="14"/>
  <c r="C4" i="11"/>
  <c r="C17" i="11"/>
  <c r="N24" i="11"/>
  <c r="N4" i="11"/>
  <c r="D14" i="10" l="1"/>
  <c r="J7" i="3"/>
  <c r="J8" i="3"/>
  <c r="J9" i="3"/>
  <c r="J10" i="3"/>
  <c r="J11" i="3"/>
  <c r="J12" i="3"/>
  <c r="J6" i="3"/>
  <c r="J5" i="3" s="1"/>
  <c r="J16" i="3"/>
  <c r="AD35" i="10"/>
  <c r="AE35" i="10"/>
  <c r="AD36" i="10"/>
  <c r="AE36" i="10"/>
  <c r="AD37" i="10"/>
  <c r="AE37" i="10"/>
  <c r="AC37" i="10"/>
  <c r="AC36" i="10"/>
  <c r="AC35" i="10"/>
  <c r="AD26" i="10"/>
  <c r="AD30" i="10" s="1"/>
  <c r="AE26" i="10"/>
  <c r="AE29" i="10" s="1"/>
  <c r="AC26" i="10"/>
  <c r="AC27" i="10" s="1"/>
  <c r="AH19" i="10"/>
  <c r="AI19" i="10"/>
  <c r="AJ19" i="10"/>
  <c r="AK19" i="10"/>
  <c r="AH39" i="10"/>
  <c r="AI39" i="10"/>
  <c r="AJ39" i="10"/>
  <c r="AK39" i="10"/>
  <c r="AL39" i="10"/>
  <c r="AH40" i="10"/>
  <c r="AI40" i="10"/>
  <c r="AJ40" i="10"/>
  <c r="AK40" i="10"/>
  <c r="AL40" i="10"/>
  <c r="AG40" i="10"/>
  <c r="AG39" i="10"/>
  <c r="I24" i="14" l="1"/>
  <c r="N14" i="10"/>
  <c r="AE28" i="10"/>
  <c r="AE27" i="10"/>
  <c r="AD29" i="10"/>
  <c r="AE31" i="10"/>
  <c r="AC29" i="10"/>
  <c r="AD31" i="10"/>
  <c r="AC31" i="10"/>
  <c r="AD28" i="10"/>
  <c r="AE30" i="10"/>
  <c r="AC28" i="10"/>
  <c r="AC30" i="10"/>
  <c r="AD27" i="10"/>
  <c r="B1" i="9"/>
  <c r="B1" i="11"/>
  <c r="B1" i="12"/>
  <c r="B1" i="2"/>
  <c r="C1" i="10"/>
  <c r="M24" i="11" l="1"/>
  <c r="M17" i="11"/>
  <c r="N26" i="11"/>
  <c r="N25" i="11" l="1"/>
  <c r="N18" i="11"/>
  <c r="N36" i="10" l="1"/>
  <c r="AS1" i="10"/>
  <c r="L4" i="12"/>
  <c r="D14" i="12"/>
  <c r="P13" i="12"/>
  <c r="L13" i="12"/>
  <c r="H13" i="12"/>
  <c r="D13" i="12" s="1"/>
  <c r="R12" i="12"/>
  <c r="H12" i="12" s="1"/>
  <c r="D38" i="10"/>
  <c r="P4" i="12"/>
  <c r="R3" i="12"/>
  <c r="L3" i="12" s="1"/>
  <c r="J4" i="12"/>
  <c r="C5" i="12"/>
  <c r="C14" i="12" s="1"/>
  <c r="C4" i="12"/>
  <c r="C13" i="12" s="1"/>
  <c r="L12" i="12" l="1"/>
  <c r="H3" i="12"/>
  <c r="D3" i="12" s="1"/>
  <c r="H15" i="12"/>
  <c r="H14" i="12"/>
  <c r="D12" i="12"/>
  <c r="J16" i="12"/>
  <c r="H4" i="12"/>
  <c r="D4" i="12" s="1"/>
  <c r="J5" i="12"/>
  <c r="N37" i="10"/>
  <c r="N35" i="10"/>
  <c r="AB26" i="10"/>
  <c r="AA26" i="10"/>
  <c r="Z26" i="10"/>
  <c r="N31" i="10"/>
  <c r="N30" i="10"/>
  <c r="N29" i="10"/>
  <c r="N28" i="10"/>
  <c r="N27" i="10"/>
  <c r="N26" i="10"/>
  <c r="D33" i="10"/>
  <c r="D24" i="10"/>
  <c r="I36" i="14"/>
  <c r="J25" i="3"/>
  <c r="I34" i="14" s="1"/>
  <c r="I28" i="14"/>
  <c r="G33" i="3"/>
  <c r="G25" i="3"/>
  <c r="Z35" i="10" l="1"/>
  <c r="AA35" i="10"/>
  <c r="AA37" i="10"/>
  <c r="AB35" i="10"/>
  <c r="H6" i="12"/>
  <c r="AB30" i="10"/>
  <c r="H5" i="12"/>
  <c r="D5" i="12"/>
  <c r="J7" i="12"/>
  <c r="Z28" i="10"/>
  <c r="Z31" i="10"/>
  <c r="AB29" i="10"/>
  <c r="AB27" i="10"/>
  <c r="AA36" i="10" l="1"/>
  <c r="Z36" i="10"/>
  <c r="AB36" i="10"/>
  <c r="D15" i="12"/>
  <c r="AB37" i="10"/>
  <c r="Z37" i="10"/>
  <c r="AA28" i="10"/>
  <c r="AA31" i="10"/>
  <c r="AA30" i="10"/>
  <c r="Z27" i="10"/>
  <c r="AB31" i="10"/>
  <c r="AA27" i="10"/>
  <c r="AB28" i="10"/>
  <c r="AA29" i="10"/>
  <c r="Z30" i="10"/>
  <c r="Z29" i="10"/>
  <c r="H17" i="12" l="1"/>
  <c r="N12" i="12" s="1"/>
  <c r="D16" i="12"/>
  <c r="D17" i="12" s="1"/>
  <c r="J17" i="12" s="1"/>
  <c r="N14" i="12" l="1"/>
  <c r="N13" i="12"/>
  <c r="E16" i="12"/>
  <c r="L17" i="12"/>
  <c r="F4" i="11" l="1"/>
  <c r="F5" i="11"/>
  <c r="F12" i="11" s="1"/>
  <c r="D12" i="11" l="1"/>
  <c r="F11" i="11"/>
  <c r="F10" i="11" s="1"/>
  <c r="F25" i="11"/>
  <c r="F18" i="11"/>
  <c r="F17" i="11" s="1"/>
  <c r="D17" i="11" s="1"/>
  <c r="F26" i="11"/>
  <c r="F19" i="11"/>
  <c r="F27" i="11"/>
  <c r="F6" i="11"/>
  <c r="F13" i="11" s="1"/>
  <c r="D13" i="11" s="1"/>
  <c r="D4" i="11"/>
  <c r="D5" i="11"/>
  <c r="D11" i="11" l="1"/>
  <c r="D10" i="11"/>
  <c r="D26" i="11"/>
  <c r="F24" i="11"/>
  <c r="D6" i="11"/>
  <c r="F28" i="11"/>
  <c r="D28" i="11" s="1"/>
  <c r="F20" i="11"/>
  <c r="D27" i="11"/>
  <c r="D7" i="11"/>
  <c r="D8" i="11" s="1"/>
  <c r="AA25" i="10"/>
  <c r="AB25" i="10"/>
  <c r="Z25" i="10"/>
  <c r="Z34" i="10"/>
  <c r="AB24" i="10"/>
  <c r="AA24" i="10"/>
  <c r="Z24" i="10"/>
  <c r="AA33" i="10"/>
  <c r="AB33" i="10"/>
  <c r="Z33" i="10"/>
  <c r="R10" i="10"/>
  <c r="AA10" i="10"/>
  <c r="X16" i="10"/>
  <c r="L18" i="10"/>
  <c r="K18" i="10"/>
  <c r="J18" i="10"/>
  <c r="I18" i="10"/>
  <c r="H18" i="10"/>
  <c r="G18" i="10"/>
  <c r="D14" i="11" l="1"/>
  <c r="D15" i="11" s="1"/>
  <c r="F15" i="11"/>
  <c r="D18" i="11"/>
  <c r="N25" i="10"/>
  <c r="J15" i="11" l="1"/>
  <c r="L13" i="10"/>
  <c r="K13" i="10"/>
  <c r="J13" i="10"/>
  <c r="I13" i="10"/>
  <c r="H13" i="10"/>
  <c r="G13" i="10"/>
  <c r="L24" i="10"/>
  <c r="K24" i="10"/>
  <c r="J24" i="10"/>
  <c r="I24" i="10"/>
  <c r="H24" i="10"/>
  <c r="G24" i="10"/>
  <c r="L33" i="10"/>
  <c r="K33" i="10"/>
  <c r="J33" i="10"/>
  <c r="I33" i="10"/>
  <c r="H33" i="10"/>
  <c r="G33" i="10"/>
  <c r="L38" i="10"/>
  <c r="K38" i="10"/>
  <c r="J38" i="10"/>
  <c r="I38" i="10"/>
  <c r="H38" i="10"/>
  <c r="G38" i="10"/>
  <c r="D21" i="10"/>
  <c r="D19" i="10"/>
  <c r="C18" i="10"/>
  <c r="C15" i="10"/>
  <c r="C13" i="10"/>
  <c r="AI9" i="10"/>
  <c r="AI6" i="10" s="1"/>
  <c r="AI24" i="10" s="1"/>
  <c r="AH9" i="10"/>
  <c r="AG9" i="10"/>
  <c r="AG6" i="10" s="1"/>
  <c r="AG24" i="10" s="1"/>
  <c r="AL9" i="10"/>
  <c r="AL6" i="10" s="1"/>
  <c r="AL24" i="10" s="1"/>
  <c r="AK9" i="10"/>
  <c r="AK6" i="10" s="1"/>
  <c r="AK24" i="10" s="1"/>
  <c r="AJ9" i="10"/>
  <c r="AJ6" i="10" s="1"/>
  <c r="AJ24" i="10" s="1"/>
  <c r="C30" i="14"/>
  <c r="C28" i="14"/>
  <c r="C26" i="14"/>
  <c r="C24" i="14"/>
  <c r="D11" i="10"/>
  <c r="I22" i="14" s="1"/>
  <c r="X20" i="10" l="1"/>
  <c r="R20" i="10"/>
  <c r="U20" i="10"/>
  <c r="T20" i="10"/>
  <c r="S20" i="10"/>
  <c r="AH6" i="10"/>
  <c r="AH8" i="10" l="1"/>
  <c r="AH24" i="10"/>
  <c r="G1" i="9" l="1"/>
  <c r="P1" i="11"/>
  <c r="T1" i="12"/>
  <c r="J1" i="2"/>
  <c r="F1" i="10"/>
  <c r="K1" i="3"/>
  <c r="V10" i="10" l="1"/>
  <c r="U10" i="10"/>
  <c r="T10" i="10"/>
  <c r="S10" i="10"/>
  <c r="Q10" i="10"/>
  <c r="I30" i="14"/>
  <c r="I26" i="14"/>
  <c r="G5" i="3"/>
  <c r="AA34" i="10" l="1"/>
  <c r="D15" i="10"/>
  <c r="F8" i="10" s="1"/>
  <c r="D13" i="10"/>
  <c r="AP16" i="10" l="1"/>
  <c r="J3" i="14"/>
  <c r="AB10" i="10" l="1"/>
  <c r="AC10" i="10"/>
  <c r="AD10" i="10"/>
  <c r="AE10" i="10"/>
  <c r="Z10" i="10"/>
  <c r="AK8" i="10" l="1"/>
  <c r="AI8" i="10"/>
  <c r="N34" i="10"/>
  <c r="AG8" i="10" l="1"/>
  <c r="AL8" i="10" l="1"/>
  <c r="AJ8" i="10"/>
  <c r="AQ9" i="10"/>
  <c r="AB34" i="10"/>
  <c r="AP9" i="10"/>
  <c r="AP10" i="10" l="1"/>
  <c r="U36" i="10" l="1"/>
  <c r="K36" i="10" s="1"/>
  <c r="V36" i="10"/>
  <c r="L36" i="10" s="1"/>
  <c r="T36" i="10"/>
  <c r="J36" i="10" s="1"/>
  <c r="AB40" i="10"/>
  <c r="S40" i="10" s="1"/>
  <c r="AA40" i="10"/>
  <c r="R40" i="10" s="1"/>
  <c r="AC40" i="10"/>
  <c r="T40" i="10" s="1"/>
  <c r="AD40" i="10"/>
  <c r="U40" i="10" s="1"/>
  <c r="Z40" i="10"/>
  <c r="Q40" i="10" s="1"/>
  <c r="AE40" i="10"/>
  <c r="V40" i="10" s="1"/>
  <c r="T35" i="10"/>
  <c r="J35" i="10" s="1"/>
  <c r="U35" i="10"/>
  <c r="K35" i="10" s="1"/>
  <c r="U37" i="10"/>
  <c r="K37" i="10" s="1"/>
  <c r="V35" i="10"/>
  <c r="L35" i="10" s="1"/>
  <c r="T37" i="10"/>
  <c r="J37" i="10" s="1"/>
  <c r="V37" i="10"/>
  <c r="L37" i="10" s="1"/>
  <c r="U26" i="10"/>
  <c r="K26" i="10" s="1"/>
  <c r="V29" i="10"/>
  <c r="L29" i="10" s="1"/>
  <c r="V30" i="10"/>
  <c r="L30" i="10" s="1"/>
  <c r="V27" i="10"/>
  <c r="L27" i="10" s="1"/>
  <c r="T26" i="10"/>
  <c r="J26" i="10" s="1"/>
  <c r="T31" i="10"/>
  <c r="J31" i="10" s="1"/>
  <c r="T28" i="10"/>
  <c r="J28" i="10" s="1"/>
  <c r="V26" i="10"/>
  <c r="L26" i="10" s="1"/>
  <c r="U31" i="10"/>
  <c r="K31" i="10" s="1"/>
  <c r="U28" i="10"/>
  <c r="K28" i="10" s="1"/>
  <c r="V31" i="10"/>
  <c r="L31" i="10" s="1"/>
  <c r="T30" i="10"/>
  <c r="J30" i="10" s="1"/>
  <c r="U27" i="10"/>
  <c r="K27" i="10" s="1"/>
  <c r="T29" i="10"/>
  <c r="J29" i="10" s="1"/>
  <c r="U30" i="10"/>
  <c r="K30" i="10" s="1"/>
  <c r="T27" i="10"/>
  <c r="J27" i="10" s="1"/>
  <c r="V28" i="10"/>
  <c r="L28" i="10" s="1"/>
  <c r="U29" i="10"/>
  <c r="K29" i="10" s="1"/>
  <c r="AA19" i="10"/>
  <c r="AB19" i="10"/>
  <c r="AC19" i="10"/>
  <c r="AD19" i="10"/>
  <c r="Z19" i="10"/>
  <c r="Q20" i="10" s="1"/>
  <c r="AE19" i="10"/>
  <c r="V20" i="10" s="1"/>
  <c r="V25" i="10"/>
  <c r="T25" i="10"/>
  <c r="U25" i="10"/>
  <c r="AA39" i="10"/>
  <c r="AD39" i="10"/>
  <c r="AB39" i="10"/>
  <c r="AE39" i="10"/>
  <c r="AC39" i="10"/>
  <c r="Z39" i="10"/>
  <c r="R14" i="10"/>
  <c r="V34" i="10"/>
  <c r="L34" i="10" s="1"/>
  <c r="U34" i="10"/>
  <c r="K34" i="10" s="1"/>
  <c r="T34" i="10"/>
  <c r="J34" i="10" s="1"/>
  <c r="U14" i="10"/>
  <c r="S14" i="10"/>
  <c r="Q14" i="10"/>
  <c r="T14" i="10"/>
  <c r="V14" i="10"/>
  <c r="AQ10" i="10"/>
  <c r="L25" i="10" l="1"/>
  <c r="I25" i="10" s="1"/>
  <c r="K25" i="10"/>
  <c r="H25" i="10" s="1"/>
  <c r="J25" i="10"/>
  <c r="G25" i="10" s="1"/>
  <c r="Q36" i="10"/>
  <c r="G36" i="10"/>
  <c r="S36" i="10"/>
  <c r="I36" i="10"/>
  <c r="R36" i="10"/>
  <c r="H36" i="10"/>
  <c r="S37" i="10"/>
  <c r="I37" i="10"/>
  <c r="G37" i="10"/>
  <c r="Q37" i="10"/>
  <c r="S35" i="10"/>
  <c r="I35" i="10"/>
  <c r="R37" i="10"/>
  <c r="H37" i="10"/>
  <c r="R35" i="10"/>
  <c r="H35" i="10"/>
  <c r="Q35" i="10"/>
  <c r="G35" i="10"/>
  <c r="Q27" i="10"/>
  <c r="G27" i="10"/>
  <c r="R30" i="10"/>
  <c r="H30" i="10"/>
  <c r="Q29" i="10"/>
  <c r="G29" i="10"/>
  <c r="Q31" i="10"/>
  <c r="G31" i="10"/>
  <c r="Q28" i="10"/>
  <c r="G28" i="10"/>
  <c r="R27" i="10"/>
  <c r="H27" i="10"/>
  <c r="Q26" i="10"/>
  <c r="G26" i="10"/>
  <c r="Q30" i="10"/>
  <c r="G30" i="10"/>
  <c r="S27" i="10"/>
  <c r="I27" i="10"/>
  <c r="S31" i="10"/>
  <c r="I31" i="10"/>
  <c r="S30" i="10"/>
  <c r="I30" i="10"/>
  <c r="S26" i="10"/>
  <c r="I26" i="10"/>
  <c r="R29" i="10"/>
  <c r="H29" i="10"/>
  <c r="R28" i="10"/>
  <c r="H28" i="10"/>
  <c r="S29" i="10"/>
  <c r="I29" i="10"/>
  <c r="S28" i="10"/>
  <c r="I28" i="10"/>
  <c r="R31" i="10"/>
  <c r="H31" i="10"/>
  <c r="R26" i="10"/>
  <c r="H26" i="10"/>
  <c r="R25" i="10"/>
  <c r="Q25" i="10"/>
  <c r="S25" i="10"/>
  <c r="F8" i="11"/>
  <c r="D19" i="11"/>
  <c r="H34" i="10"/>
  <c r="R34" i="10"/>
  <c r="I34" i="10"/>
  <c r="S34" i="10"/>
  <c r="G34" i="10"/>
  <c r="Q34" i="10"/>
  <c r="L26" i="11" l="1"/>
  <c r="L12" i="11"/>
  <c r="L11" i="11"/>
  <c r="L10" i="11"/>
  <c r="L27" i="11"/>
  <c r="L17" i="11"/>
  <c r="L18" i="11"/>
  <c r="F22" i="11"/>
  <c r="D20" i="11"/>
  <c r="D21" i="11" s="1"/>
  <c r="L4" i="11"/>
  <c r="J8" i="11"/>
  <c r="Q19" i="10" s="1"/>
  <c r="L19" i="11"/>
  <c r="L5" i="11"/>
  <c r="N15" i="11" l="1"/>
  <c r="N20" i="10" s="1"/>
  <c r="D22" i="11"/>
  <c r="J22" i="11" s="1"/>
  <c r="X21" i="10" l="1"/>
  <c r="S21" i="10"/>
  <c r="R21" i="10"/>
  <c r="T21" i="10"/>
  <c r="U21" i="10"/>
  <c r="V21" i="10"/>
  <c r="Q21" i="10"/>
  <c r="X19" i="10"/>
  <c r="R19" i="10"/>
  <c r="S19" i="10"/>
  <c r="V19" i="10"/>
  <c r="T19" i="10"/>
  <c r="U19" i="10"/>
  <c r="H14" i="10" l="1"/>
  <c r="I14" i="10"/>
  <c r="K14" i="10"/>
  <c r="J14" i="10"/>
  <c r="G14" i="10"/>
  <c r="F14" i="10" s="1"/>
  <c r="L14" i="10"/>
  <c r="D6" i="12" l="1"/>
  <c r="D7" i="12" s="1"/>
  <c r="D8" i="12" l="1"/>
  <c r="H8" i="12"/>
  <c r="E7" i="12" l="1"/>
  <c r="N3" i="12"/>
  <c r="N4" i="12"/>
  <c r="N5" i="12"/>
  <c r="J8" i="12"/>
  <c r="L8" i="12"/>
  <c r="V39" i="10" l="1"/>
  <c r="U39" i="10"/>
  <c r="T39" i="10"/>
  <c r="S39" i="10"/>
  <c r="Q39" i="10"/>
  <c r="R39" i="10"/>
  <c r="L25" i="11" l="1"/>
  <c r="D25" i="11"/>
  <c r="D24" i="11"/>
  <c r="F30" i="11"/>
  <c r="L24" i="11"/>
  <c r="N30" i="11" s="1"/>
  <c r="D29" i="11" l="1"/>
  <c r="D30" i="11" s="1"/>
  <c r="J30" i="11" s="1"/>
  <c r="G20" i="10" l="1"/>
  <c r="H20" i="10"/>
  <c r="I20" i="10"/>
  <c r="K20" i="10"/>
  <c r="J20" i="10"/>
  <c r="L20" i="10"/>
  <c r="X22" i="10"/>
  <c r="S22" i="10"/>
  <c r="R22" i="10"/>
  <c r="T22" i="10"/>
  <c r="U22" i="10"/>
  <c r="V22" i="10"/>
  <c r="Q22" i="10"/>
  <c r="N8" i="11" l="1"/>
  <c r="N19" i="10" s="1"/>
  <c r="I19" i="10" s="1"/>
  <c r="N39" i="10"/>
  <c r="K39" i="10" s="1"/>
  <c r="N22" i="11"/>
  <c r="N21" i="10" s="1"/>
  <c r="N40" i="10"/>
  <c r="N22" i="10"/>
  <c r="G19" i="10" l="1"/>
  <c r="K19" i="10"/>
  <c r="H19" i="10"/>
  <c r="L19" i="10"/>
  <c r="J19" i="10"/>
  <c r="L39" i="10"/>
  <c r="G39" i="10"/>
  <c r="H39" i="10"/>
  <c r="J39" i="10"/>
  <c r="I39" i="10"/>
  <c r="G22" i="10"/>
  <c r="H22" i="10"/>
  <c r="L22" i="10"/>
  <c r="J22" i="10"/>
  <c r="K22" i="10"/>
  <c r="I22" i="10"/>
  <c r="L40" i="10"/>
  <c r="J40" i="10"/>
  <c r="G40" i="10"/>
  <c r="K40" i="10"/>
  <c r="I40" i="10"/>
  <c r="H40" i="10"/>
  <c r="H21" i="10"/>
  <c r="K21" i="10"/>
  <c r="J21" i="10"/>
  <c r="I21" i="10"/>
  <c r="G21" i="10"/>
  <c r="L21" i="10"/>
  <c r="C6" i="10" l="1"/>
  <c r="I17" i="14" s="1"/>
  <c r="G17" i="14" s="1"/>
  <c r="C4" i="10" l="1"/>
  <c r="I15" i="14" s="1"/>
  <c r="G15" i="14" s="1"/>
</calcChain>
</file>

<file path=xl/sharedStrings.xml><?xml version="1.0" encoding="utf-8"?>
<sst xmlns="http://schemas.openxmlformats.org/spreadsheetml/2006/main" count="604" uniqueCount="227">
  <si>
    <t>Water</t>
  </si>
  <si>
    <t>Density</t>
  </si>
  <si>
    <t>mm</t>
  </si>
  <si>
    <t>Mortar</t>
  </si>
  <si>
    <t>Inputs</t>
  </si>
  <si>
    <t>Wall area</t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</si>
  <si>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</si>
  <si>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t>Block Size</t>
  </si>
  <si>
    <t>Output</t>
  </si>
  <si>
    <t>A1</t>
  </si>
  <si>
    <t>A2</t>
  </si>
  <si>
    <t>Block</t>
  </si>
  <si>
    <t>M29</t>
  </si>
  <si>
    <t>M25</t>
  </si>
  <si>
    <t>M36</t>
  </si>
  <si>
    <t>Reinforcing Bars</t>
  </si>
  <si>
    <t>%</t>
  </si>
  <si>
    <t>Assumptions</t>
  </si>
  <si>
    <t>Grout</t>
  </si>
  <si>
    <t>Block Face Dimensions</t>
  </si>
  <si>
    <t>m</t>
  </si>
  <si>
    <t>Conversions</t>
  </si>
  <si>
    <t>Area of a Block Unit with Joints</t>
  </si>
  <si>
    <t>Height</t>
  </si>
  <si>
    <t>Length</t>
  </si>
  <si>
    <t>Area of Face with Joints</t>
  </si>
  <si>
    <t>kg/m</t>
  </si>
  <si>
    <t>kg</t>
  </si>
  <si>
    <t>% Solids</t>
  </si>
  <si>
    <t>Void Volume</t>
  </si>
  <si>
    <t>https://www.vulcanmaterials.com/docs/default-source/default-document-library/pleasanton-epd_final</t>
  </si>
  <si>
    <t>Weighted Average Material Content of CMU Products</t>
  </si>
  <si>
    <t>Without Joints</t>
  </si>
  <si>
    <t>Total Volume</t>
  </si>
  <si>
    <t>Solids Volume</t>
  </si>
  <si>
    <t>200 mm Depth</t>
  </si>
  <si>
    <t>300 mm Depth</t>
  </si>
  <si>
    <r>
      <t>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/>
    </r>
  </si>
  <si>
    <t>Nominal Depth</t>
  </si>
  <si>
    <t>Air</t>
  </si>
  <si>
    <t>W/C</t>
  </si>
  <si>
    <t>EPD Cradle to Gate</t>
  </si>
  <si>
    <t>Choices</t>
  </si>
  <si>
    <t>Total Mass</t>
  </si>
  <si>
    <r>
      <t>kg CO</t>
    </r>
    <r>
      <rPr>
        <vertAlign val="subscript"/>
        <sz val="11"/>
        <color theme="1"/>
        <rFont val="Calibri"/>
        <family val="2"/>
        <scheme val="minor"/>
      </rPr>
      <t>2</t>
    </r>
  </si>
  <si>
    <t>Mortar joint thickness</t>
  </si>
  <si>
    <t>Masonry Sand</t>
  </si>
  <si>
    <t>Mass %</t>
  </si>
  <si>
    <t>Concrete Sand</t>
  </si>
  <si>
    <t>A4</t>
  </si>
  <si>
    <r>
      <t>kg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</t>
    </r>
    <r>
      <rPr>
        <vertAlign val="superscript"/>
        <sz val="11"/>
        <color theme="1"/>
        <rFont val="Calibri"/>
        <family val="2"/>
        <scheme val="minor"/>
      </rPr>
      <t>2</t>
    </r>
  </si>
  <si>
    <t>250 mm Depth</t>
  </si>
  <si>
    <t>Outputs</t>
  </si>
  <si>
    <t>Medium weight</t>
  </si>
  <si>
    <t>Lightweight</t>
  </si>
  <si>
    <t>105 to 125</t>
  </si>
  <si>
    <t>less than</t>
  </si>
  <si>
    <t>1682 to 2002</t>
  </si>
  <si>
    <r>
      <t>m</t>
    </r>
    <r>
      <rPr>
        <vertAlign val="superscript"/>
        <sz val="11"/>
        <color theme="1" tint="0.34998626667073579"/>
        <rFont val="Calibri"/>
        <family val="2"/>
        <scheme val="minor"/>
      </rPr>
      <t>2</t>
    </r>
  </si>
  <si>
    <r>
      <t>Environmental Product Declaration (A1 - A3) Global Warming Potential kg CO</t>
    </r>
    <r>
      <rPr>
        <b/>
        <vertAlign val="subscript"/>
        <sz val="14"/>
        <color theme="1" tint="0.34998626667073579"/>
        <rFont val="Calibri"/>
        <family val="2"/>
        <scheme val="minor"/>
      </rPr>
      <t>2</t>
    </r>
    <r>
      <rPr>
        <b/>
        <sz val="14"/>
        <color theme="1" tint="0.34998626667073579"/>
        <rFont val="Calibri"/>
        <family val="2"/>
        <scheme val="minor"/>
      </rPr>
      <t xml:space="preserve"> equivalent</t>
    </r>
  </si>
  <si>
    <t>kg/block</t>
  </si>
  <si>
    <r>
      <t>kg CO</t>
    </r>
    <r>
      <rPr>
        <vertAlign val="subscript"/>
        <sz val="11"/>
        <color theme="1" tint="0.34998626667073579"/>
        <rFont val="Calibri"/>
        <family val="2"/>
        <scheme val="minor"/>
      </rPr>
      <t>2</t>
    </r>
  </si>
  <si>
    <r>
      <t>kg CO</t>
    </r>
    <r>
      <rPr>
        <vertAlign val="subscript"/>
        <sz val="11"/>
        <color theme="1" tint="0.34998626667073579"/>
        <rFont val="Calibri"/>
        <family val="2"/>
        <scheme val="minor"/>
      </rPr>
      <t>2</t>
    </r>
    <r>
      <rPr>
        <sz val="11"/>
        <color theme="1" tint="0.34998626667073579"/>
        <rFont val="Calibri"/>
        <family val="2"/>
        <scheme val="minor"/>
      </rPr>
      <t>/m</t>
    </r>
    <r>
      <rPr>
        <vertAlign val="superscript"/>
        <sz val="11"/>
        <color theme="1" tint="0.34998626667073579"/>
        <rFont val="Calibri"/>
        <family val="2"/>
        <scheme val="minor"/>
      </rPr>
      <t>2</t>
    </r>
  </si>
  <si>
    <r>
      <t>kg CO</t>
    </r>
    <r>
      <rPr>
        <vertAlign val="subscript"/>
        <sz val="11"/>
        <color theme="1" tint="0.34998626667073579"/>
        <rFont val="Calibri"/>
        <family val="2"/>
        <scheme val="minor"/>
      </rPr>
      <t>2</t>
    </r>
    <r>
      <rPr>
        <sz val="11"/>
        <color theme="1" tint="0.34998626667073579"/>
        <rFont val="Calibri"/>
        <family val="2"/>
        <scheme val="minor"/>
      </rPr>
      <t>/m</t>
    </r>
    <r>
      <rPr>
        <vertAlign val="superscript"/>
        <sz val="11"/>
        <color theme="1" tint="0.34998626667073579"/>
        <rFont val="Calibri"/>
        <family val="2"/>
        <scheme val="minor"/>
      </rPr>
      <t>3</t>
    </r>
  </si>
  <si>
    <r>
      <t>kg CO</t>
    </r>
    <r>
      <rPr>
        <vertAlign val="subscript"/>
        <sz val="11"/>
        <color theme="1" tint="0.34998626667073579"/>
        <rFont val="Calibri"/>
        <family val="2"/>
        <scheme val="minor"/>
      </rPr>
      <t>2</t>
    </r>
    <r>
      <rPr>
        <sz val="11"/>
        <color theme="1" tint="0.34998626667073579"/>
        <rFont val="Calibri"/>
        <family val="2"/>
        <scheme val="minor"/>
      </rPr>
      <t>/tonne</t>
    </r>
  </si>
  <si>
    <r>
      <t>kg CO</t>
    </r>
    <r>
      <rPr>
        <vertAlign val="subscript"/>
        <sz val="11"/>
        <color theme="1" tint="0.34998626667073579"/>
        <rFont val="Calibri"/>
        <family val="2"/>
        <scheme val="minor"/>
      </rPr>
      <t>2</t>
    </r>
    <r>
      <rPr>
        <sz val="11"/>
        <color theme="1" tint="0.34998626667073579"/>
        <rFont val="Calibri"/>
        <family val="2"/>
        <scheme val="minor"/>
      </rPr>
      <t>/tonne of Mortar</t>
    </r>
  </si>
  <si>
    <t>Project 1</t>
  </si>
  <si>
    <t>Architect or Engineer</t>
  </si>
  <si>
    <r>
      <t>tonnes/m</t>
    </r>
    <r>
      <rPr>
        <vertAlign val="superscript"/>
        <sz val="11"/>
        <color theme="1" tint="0.34998626667073579"/>
        <rFont val="Calibri"/>
        <family val="2"/>
        <scheme val="minor"/>
      </rPr>
      <t>2</t>
    </r>
  </si>
  <si>
    <r>
      <t>kg/m</t>
    </r>
    <r>
      <rPr>
        <vertAlign val="superscript"/>
        <sz val="11"/>
        <color theme="1" tint="0.34998626667073579"/>
        <rFont val="Calibri"/>
        <family val="2"/>
        <scheme val="minor"/>
      </rPr>
      <t>2</t>
    </r>
  </si>
  <si>
    <r>
      <t>m</t>
    </r>
    <r>
      <rPr>
        <vertAlign val="superscript"/>
        <sz val="11"/>
        <color theme="1" tint="0.34998626667073579"/>
        <rFont val="Calibri"/>
        <family val="2"/>
        <scheme val="minor"/>
      </rPr>
      <t>3</t>
    </r>
    <r>
      <rPr>
        <sz val="11"/>
        <color theme="1" tint="0.34998626667073579"/>
        <rFont val="Calibri"/>
        <family val="2"/>
        <scheme val="minor"/>
      </rPr>
      <t>/m</t>
    </r>
    <r>
      <rPr>
        <vertAlign val="superscript"/>
        <sz val="11"/>
        <color theme="1" tint="0.34998626667073579"/>
        <rFont val="Calibri"/>
        <family val="2"/>
        <scheme val="minor"/>
      </rPr>
      <t>2</t>
    </r>
  </si>
  <si>
    <r>
      <t>m</t>
    </r>
    <r>
      <rPr>
        <vertAlign val="superscript"/>
        <sz val="11"/>
        <color theme="1" tint="0.34998626667073579"/>
        <rFont val="Calibri"/>
        <family val="2"/>
        <scheme val="minor"/>
      </rPr>
      <t>3</t>
    </r>
  </si>
  <si>
    <r>
      <t>kg/m</t>
    </r>
    <r>
      <rPr>
        <vertAlign val="superscript"/>
        <sz val="11"/>
        <color theme="1" tint="0.34998626667073579"/>
        <rFont val="Calibri"/>
        <family val="2"/>
        <scheme val="minor"/>
      </rPr>
      <t>3</t>
    </r>
  </si>
  <si>
    <r>
      <t>Block per 1 m</t>
    </r>
    <r>
      <rPr>
        <vertAlign val="superscript"/>
        <sz val="11"/>
        <color theme="1" tint="0.34998626667073579"/>
        <rFont val="Calibri"/>
        <family val="2"/>
        <scheme val="minor"/>
      </rPr>
      <t>2</t>
    </r>
  </si>
  <si>
    <r>
      <t>Block/ft</t>
    </r>
    <r>
      <rPr>
        <vertAlign val="superscript"/>
        <sz val="11"/>
        <color theme="1" tint="0.34998626667073579"/>
        <rFont val="Calibri"/>
        <family val="2"/>
        <scheme val="minor"/>
      </rPr>
      <t>2</t>
    </r>
  </si>
  <si>
    <r>
      <t>lb/ft</t>
    </r>
    <r>
      <rPr>
        <vertAlign val="superscript"/>
        <sz val="11"/>
        <color theme="1" tint="0.34998626667073579"/>
        <rFont val="Calibri"/>
        <family val="2"/>
        <scheme val="minor"/>
      </rPr>
      <t>3</t>
    </r>
  </si>
  <si>
    <r>
      <t>yd</t>
    </r>
    <r>
      <rPr>
        <vertAlign val="superscript"/>
        <sz val="11"/>
        <color theme="1" tint="0.34998626667073579"/>
        <rFont val="Calibri"/>
        <family val="2"/>
        <scheme val="minor"/>
      </rPr>
      <t>3</t>
    </r>
    <r>
      <rPr>
        <sz val="11"/>
        <color theme="1" tint="0.34998626667073579"/>
        <rFont val="Calibri"/>
        <family val="2"/>
        <scheme val="minor"/>
      </rPr>
      <t>/100ft</t>
    </r>
    <r>
      <rPr>
        <vertAlign val="superscript"/>
        <sz val="11"/>
        <color theme="1" tint="0.34998626667073579"/>
        <rFont val="Calibri"/>
        <family val="2"/>
        <scheme val="minor"/>
      </rPr>
      <t>2</t>
    </r>
  </si>
  <si>
    <t>From</t>
  </si>
  <si>
    <t>EPDs</t>
  </si>
  <si>
    <t>References</t>
  </si>
  <si>
    <t>Calculations</t>
  </si>
  <si>
    <t>Project Name:</t>
  </si>
  <si>
    <t>Project Address:</t>
  </si>
  <si>
    <t>Wall Type and orientation:</t>
  </si>
  <si>
    <t>Designer:</t>
  </si>
  <si>
    <t>Flashing contribution inconsequential</t>
  </si>
  <si>
    <t>Mortar Joint Thickness</t>
  </si>
  <si>
    <t xml:space="preserve">Date: 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</si>
  <si>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</si>
  <si>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</si>
  <si>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</si>
  <si>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</si>
  <si>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</si>
  <si>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</si>
  <si>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</si>
  <si>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</si>
  <si>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</si>
  <si>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</si>
  <si>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http://www.cement.org/docs/default-source/sustainabilty2/pca-portland-cement-epd-062716.pdf?sfvrsn=2</t>
  </si>
  <si>
    <t>Product Stage A1 - A3 (EN 15978:2011)</t>
  </si>
  <si>
    <r>
      <t>kg CO</t>
    </r>
    <r>
      <rPr>
        <vertAlign val="subscript"/>
        <sz val="11"/>
        <color theme="1" tint="0.34998626667073579"/>
        <rFont val="Calibri"/>
        <family val="2"/>
        <scheme val="minor"/>
      </rPr>
      <t xml:space="preserve">2 </t>
    </r>
  </si>
  <si>
    <r>
      <t>kg CO</t>
    </r>
    <r>
      <rPr>
        <vertAlign val="subscript"/>
        <sz val="11"/>
        <color theme="1" tint="0.34998626667073579"/>
        <rFont val="Calibri"/>
        <family val="2"/>
        <scheme val="minor"/>
      </rPr>
      <t>2</t>
    </r>
    <r>
      <rPr>
        <sz val="11"/>
        <color theme="1" tint="0.34998626667073579"/>
        <rFont val="Calibri"/>
        <family val="2"/>
        <scheme val="minor"/>
      </rPr>
      <t xml:space="preserve"> per m</t>
    </r>
    <r>
      <rPr>
        <vertAlign val="superscript"/>
        <sz val="11"/>
        <color theme="1" tint="0.34998626667073579"/>
        <rFont val="Calibri"/>
        <family val="2"/>
        <scheme val="minor"/>
      </rPr>
      <t>2</t>
    </r>
  </si>
  <si>
    <t>Angelus Block Company Incorporated</t>
  </si>
  <si>
    <t>Block Producer:</t>
  </si>
  <si>
    <t>Angelus Block Co. Inc.</t>
  </si>
  <si>
    <r>
      <t>ft</t>
    </r>
    <r>
      <rPr>
        <vertAlign val="superscript"/>
        <sz val="11"/>
        <color theme="1" tint="0.34998626667073579"/>
        <rFont val="Calibri"/>
        <family val="2"/>
        <scheme val="minor"/>
      </rPr>
      <t>2</t>
    </r>
  </si>
  <si>
    <t>Single Open End</t>
  </si>
  <si>
    <t>Double Open End</t>
  </si>
  <si>
    <t>Block Shape</t>
  </si>
  <si>
    <t>Grout Type</t>
  </si>
  <si>
    <t>40% Fly Ash</t>
  </si>
  <si>
    <t>Horizontal Rebar</t>
  </si>
  <si>
    <t>in</t>
  </si>
  <si>
    <t>DOE</t>
  </si>
  <si>
    <t>SOE</t>
  </si>
  <si>
    <t>Fly Ash</t>
  </si>
  <si>
    <t>Vertical Rebar</t>
  </si>
  <si>
    <t>Mortar Joint Grout</t>
  </si>
  <si>
    <t>Mortar Joint Depth</t>
  </si>
  <si>
    <t>Mortar Joint Width</t>
  </si>
  <si>
    <t>3/8</t>
  </si>
  <si>
    <r>
      <t>m</t>
    </r>
    <r>
      <rPr>
        <vertAlign val="superscript"/>
        <sz val="11"/>
        <color theme="1" tint="0.34998626667073579"/>
        <rFont val="Calibri"/>
        <family val="2"/>
        <scheme val="minor"/>
      </rPr>
      <t>3</t>
    </r>
    <r>
      <rPr>
        <sz val="11"/>
        <color theme="1" tint="0.34998626667073579"/>
        <rFont val="Calibri"/>
        <family val="2"/>
        <scheme val="minor"/>
      </rPr>
      <t>/block</t>
    </r>
  </si>
  <si>
    <t>Grout in Block</t>
  </si>
  <si>
    <t>Mortar Joints</t>
  </si>
  <si>
    <t>GWP</t>
  </si>
  <si>
    <t>TX</t>
  </si>
  <si>
    <t>OC</t>
  </si>
  <si>
    <t>FO</t>
  </si>
  <si>
    <t>RB</t>
  </si>
  <si>
    <t>VT</t>
  </si>
  <si>
    <t>CV</t>
  </si>
  <si>
    <t>Block wall is fully grouted</t>
  </si>
  <si>
    <t>A3</t>
  </si>
  <si>
    <t>A5</t>
  </si>
  <si>
    <t>Angelus Block</t>
  </si>
  <si>
    <t>m3/ft3</t>
  </si>
  <si>
    <r>
      <t>ft</t>
    </r>
    <r>
      <rPr>
        <vertAlign val="superscript"/>
        <sz val="11"/>
        <color theme="1" tint="0.34998626667073579"/>
        <rFont val="Calibri"/>
        <family val="2"/>
        <scheme val="minor"/>
      </rPr>
      <t>2</t>
    </r>
    <r>
      <rPr>
        <sz val="11"/>
        <color theme="1" tint="0.34998626667073579"/>
        <rFont val="Calibri"/>
        <family val="2"/>
        <scheme val="minor"/>
      </rPr>
      <t xml:space="preserve"> to m</t>
    </r>
    <r>
      <rPr>
        <vertAlign val="superscript"/>
        <sz val="11"/>
        <color theme="1" tint="0.34998626667073579"/>
        <rFont val="Calibri"/>
        <family val="2"/>
        <scheme val="minor"/>
      </rPr>
      <t>2</t>
    </r>
  </si>
  <si>
    <t>Exterior Wall</t>
  </si>
  <si>
    <r>
      <t>ft</t>
    </r>
    <r>
      <rPr>
        <vertAlign val="superscript"/>
        <sz val="11"/>
        <color theme="1" tint="0.34998626667073579"/>
        <rFont val="Calibri"/>
        <family val="2"/>
        <scheme val="minor"/>
      </rPr>
      <t>3</t>
    </r>
  </si>
  <si>
    <t>3/8 in</t>
  </si>
  <si>
    <t>Angelus Block Carbon Calculator</t>
  </si>
  <si>
    <t>No Rebar</t>
  </si>
  <si>
    <t>All</t>
  </si>
  <si>
    <t>400 mm O.C.</t>
  </si>
  <si>
    <t>600 mm O.C.</t>
  </si>
  <si>
    <t>800 mm O.C.</t>
  </si>
  <si>
    <t>16 inches O.C.</t>
  </si>
  <si>
    <t>24 inches O.C.</t>
  </si>
  <si>
    <t>32 inches O.C.</t>
  </si>
  <si>
    <t>40 inches O.C.</t>
  </si>
  <si>
    <t>48 inches O.C.</t>
  </si>
  <si>
    <t>1000 mm O.C.</t>
  </si>
  <si>
    <t>1200 mm O.C.</t>
  </si>
  <si>
    <r>
      <t>lb CO</t>
    </r>
    <r>
      <rPr>
        <vertAlign val="subscript"/>
        <sz val="11"/>
        <color theme="1" tint="0.34998626667073579"/>
        <rFont val="Calibri"/>
        <family val="2"/>
        <scheme val="minor"/>
      </rPr>
      <t>2</t>
    </r>
    <r>
      <rPr>
        <sz val="11"/>
        <color theme="1" tint="0.34998626667073579"/>
        <rFont val="Calibri"/>
        <family val="2"/>
        <scheme val="minor"/>
      </rPr>
      <t xml:space="preserve"> per ft</t>
    </r>
    <r>
      <rPr>
        <vertAlign val="superscript"/>
        <sz val="11"/>
        <color theme="1" tint="0.34998626667073579"/>
        <rFont val="Calibri"/>
        <family val="2"/>
        <scheme val="minor"/>
      </rPr>
      <t>2</t>
    </r>
  </si>
  <si>
    <r>
      <t>lb CO</t>
    </r>
    <r>
      <rPr>
        <vertAlign val="subscript"/>
        <sz val="11"/>
        <color theme="1" tint="0.34998626667073579"/>
        <rFont val="Calibri"/>
        <family val="2"/>
        <scheme val="minor"/>
      </rPr>
      <t xml:space="preserve">2 </t>
    </r>
  </si>
  <si>
    <t>depth</t>
  </si>
  <si>
    <t>7 5/8 inches</t>
  </si>
  <si>
    <t>9 5/8 inches</t>
  </si>
  <si>
    <t>190 mm</t>
  </si>
  <si>
    <t>240 mm</t>
  </si>
  <si>
    <t>290 mm</t>
  </si>
  <si>
    <t>11 5/8 inches</t>
  </si>
  <si>
    <t>190 x 390 mm</t>
  </si>
  <si>
    <t>10 mm</t>
  </si>
  <si>
    <t>Type S</t>
  </si>
  <si>
    <t>Mortar Type</t>
  </si>
  <si>
    <t>Type M</t>
  </si>
  <si>
    <t>Hydrated Lime</t>
  </si>
  <si>
    <t>kg/Bag of Portland Cement IL</t>
  </si>
  <si>
    <t>kg/Bag of Hydrated Lime</t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</si>
  <si>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/ft</t>
    </r>
    <r>
      <rPr>
        <vertAlign val="superscript"/>
        <sz val="11"/>
        <color theme="1"/>
        <rFont val="Calibri"/>
        <family val="2"/>
        <scheme val="minor"/>
      </rPr>
      <t>3</t>
    </r>
  </si>
  <si>
    <r>
      <t>m</t>
    </r>
    <r>
      <rPr>
        <vertAlign val="superscript"/>
        <sz val="11"/>
        <color theme="1" tint="0.34998626667073579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/>
    </r>
  </si>
  <si>
    <t>Angelus Carbon Calculator - Cradle to Gate</t>
  </si>
  <si>
    <r>
      <t>kg CO2/m</t>
    </r>
    <r>
      <rPr>
        <vertAlign val="superscript"/>
        <sz val="11"/>
        <color theme="1"/>
        <rFont val="Calibri"/>
        <family val="2"/>
        <scheme val="minor"/>
      </rPr>
      <t>2</t>
    </r>
  </si>
  <si>
    <t>Southern California</t>
  </si>
  <si>
    <r>
      <t>kg CO</t>
    </r>
    <r>
      <rPr>
        <vertAlign val="subscript"/>
        <sz val="11"/>
        <color theme="1" tint="0.249977111117893"/>
        <rFont val="Calibri"/>
        <family val="2"/>
        <scheme val="minor"/>
      </rPr>
      <t>2</t>
    </r>
    <r>
      <rPr>
        <sz val="11"/>
        <color theme="1" tint="0.249977111117893"/>
        <rFont val="Calibri"/>
        <family val="2"/>
        <scheme val="minor"/>
      </rPr>
      <t>/tonne</t>
    </r>
  </si>
  <si>
    <r>
      <t>m</t>
    </r>
    <r>
      <rPr>
        <vertAlign val="superscript"/>
        <sz val="11"/>
        <color theme="1" tint="0.249977111117893"/>
        <rFont val="Calibri"/>
        <family val="2"/>
        <scheme val="minor"/>
      </rPr>
      <t>3</t>
    </r>
  </si>
  <si>
    <r>
      <t>m</t>
    </r>
    <r>
      <rPr>
        <vertAlign val="superscript"/>
        <sz val="11"/>
        <color theme="1" tint="0.249977111117893"/>
        <rFont val="Calibri"/>
        <family val="2"/>
        <scheme val="minor"/>
      </rPr>
      <t>3</t>
    </r>
    <r>
      <rPr>
        <sz val="11"/>
        <color theme="1" tint="0.249977111117893"/>
        <rFont val="Calibri"/>
        <family val="2"/>
        <scheme val="minor"/>
      </rPr>
      <t>/ Bag</t>
    </r>
  </si>
  <si>
    <r>
      <t>ft</t>
    </r>
    <r>
      <rPr>
        <vertAlign val="superscript"/>
        <sz val="11"/>
        <color theme="1" tint="0.249977111117893"/>
        <rFont val="Calibri"/>
        <family val="2"/>
        <scheme val="minor"/>
      </rPr>
      <t>3</t>
    </r>
  </si>
  <si>
    <r>
      <t>kg/m</t>
    </r>
    <r>
      <rPr>
        <vertAlign val="superscript"/>
        <sz val="11"/>
        <color theme="1" tint="0.249977111117893"/>
        <rFont val="Calibri"/>
        <family val="2"/>
        <scheme val="minor"/>
      </rPr>
      <t>3</t>
    </r>
  </si>
  <si>
    <t>Slag Cement</t>
  </si>
  <si>
    <t>R11</t>
  </si>
  <si>
    <t>25% Fly Ash 55% Slag Cement</t>
  </si>
  <si>
    <t>25% Fly Ash &amp; 55% Slag</t>
  </si>
  <si>
    <t>Wall Area</t>
  </si>
  <si>
    <t>Wall Tie Steel Inconsequential</t>
  </si>
  <si>
    <t>Medium Weight 2000 net psi</t>
  </si>
  <si>
    <t>Reviewed by Athena Sustainable Materials Institute</t>
  </si>
  <si>
    <t>Global Warming Potential (GWP ) A1+A2+A3</t>
  </si>
  <si>
    <t>Plant</t>
  </si>
  <si>
    <t>Sun Valley (Tuxford)</t>
  </si>
  <si>
    <t>Plant and Block Type</t>
  </si>
  <si>
    <t>Sun Valley (Tuxford) TX Medium Weight Gray Block</t>
  </si>
  <si>
    <t>Orange</t>
  </si>
  <si>
    <t>Fontana</t>
  </si>
  <si>
    <t>Gardena</t>
  </si>
  <si>
    <t>Oxnard</t>
  </si>
  <si>
    <t>Indio</t>
  </si>
  <si>
    <t>White Medium Weight 2000 net psi</t>
  </si>
  <si>
    <t>CMU</t>
  </si>
  <si>
    <t>Orange OC Medium Weight Gray Block</t>
  </si>
  <si>
    <t>Fontana FO Medium Weight Gray Block</t>
  </si>
  <si>
    <t>Gardena RB Medium Weight Gray Block</t>
  </si>
  <si>
    <t>Oxnard VT Medium Weight Gray Block</t>
  </si>
  <si>
    <t>Indio CV Medium Weight Gray Block</t>
  </si>
  <si>
    <t>Indio CV Medium Weight White Calcite Block</t>
  </si>
  <si>
    <t>7 5/8 x 15 5/8 in</t>
  </si>
  <si>
    <t>https://www.boral.com.au/sites/default/files/media/field_document/Lime-Boral-Lime-and-Limestone-Products-EPD.pdf</t>
  </si>
  <si>
    <t>https://pcr-epd.s3.us-east-2.amazonaws.com/707.EPD_for_Slag_Cement_Industry_Wide_EPD.pdf</t>
  </si>
  <si>
    <t>chrome-extension://efaidnbmnnnibpcajpcglclefindmkaj/https://pcr-epd.s3.us-east-2.amazonaws.com/537.EPD_for_VMC_Durbin_Sand_Gravel.pdf</t>
  </si>
  <si>
    <t>https://www.calportland.com/wp-content/uploads/2023/07/CalPortland-Oro-Grande-EPD20038-2020-11-24.pdf</t>
  </si>
  <si>
    <t>https://www.crsi.org/wp-content/uploads/CRSI_Industry-Wide_EPD_Sep2022.pdf</t>
  </si>
  <si>
    <t>https://www.astm.org/products-services/certification/environmental-product-declarations/epd-pcr/epd-angelus-block.html</t>
  </si>
  <si>
    <t>ISO 14044:2006/Amd 2:2020 Environmental management -- Life cycle assessment -- Requirements and guidelines</t>
  </si>
  <si>
    <t>ISO 14040:2006/Amd 1:2020 Environmental management -- Life cycle assessment -- Principles and framework</t>
  </si>
  <si>
    <t>https://pcr-epd.s3.us-east-2.amazonaws.com/487.PCR_for_Manufactured_Concrete_and_Concrete_Masonry_Products.pdf</t>
  </si>
  <si>
    <r>
      <t>kg CO2-eq. per m</t>
    </r>
    <r>
      <rPr>
        <vertAlign val="superscript"/>
        <sz val="11"/>
        <color theme="1" tint="0.34998626667073579"/>
        <rFont val="Calibri"/>
        <family val="2"/>
        <scheme val="minor"/>
      </rPr>
      <t>3</t>
    </r>
  </si>
  <si>
    <t xml:space="preserve">kg CO2-eq. per tonne </t>
  </si>
  <si>
    <t>kg CO2-eq. per tonne</t>
  </si>
  <si>
    <t>Cement Type for Grout</t>
  </si>
  <si>
    <t>100% Cement</t>
  </si>
  <si>
    <t>ASTM C595 Type IL (PLC)</t>
  </si>
  <si>
    <t>ASTM C150 Portland Cement Type I or II</t>
  </si>
  <si>
    <t>25% Fly Ash</t>
  </si>
  <si>
    <r>
      <t>kg CO</t>
    </r>
    <r>
      <rPr>
        <vertAlign val="subscript"/>
        <sz val="11"/>
        <color theme="1" tint="0.34998626667073579"/>
        <rFont val="Calibri"/>
        <family val="2"/>
        <scheme val="minor"/>
      </rPr>
      <t>2</t>
    </r>
    <r>
      <rPr>
        <sz val="11"/>
        <color theme="1" tint="0.34998626667073579"/>
        <rFont val="Calibri"/>
        <family val="2"/>
        <scheme val="minor"/>
      </rPr>
      <t>/m</t>
    </r>
    <r>
      <rPr>
        <vertAlign val="superscript"/>
        <sz val="11"/>
        <color theme="1" tint="0.34998626667073579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/>
    </r>
  </si>
  <si>
    <t>ASTM  C595 Portland Cement Type IL (CalPortland Advancement LT)</t>
  </si>
  <si>
    <t>ver 1.9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</si>
</sst>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0.0"/>
    <numFmt numFmtId="165" formatCode="0.000"/>
    <numFmt numFmtId="166" formatCode="0.0000"/>
    <numFmt numFmtId="167" formatCode="[$-409]d/mmm/yyyy;@"/>
    <numFmt numFmtId="168" formatCode="0.00000"/>
    <numFmt numFmtId="169" formatCode="0.0%"/>
    <numFmt numFmtId="170" formatCode="#,##0.0"/>
    <numFmt numFmtId="171" formatCode="#,##0_ ;\-#,##0\ "/>
    <numFmt numFmtId="172" formatCode="yyyy/mmm/dd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i/>
      <sz val="18"/>
      <color theme="1" tint="4.9989318521683403E-2"/>
      <name val="Calibri"/>
      <family val="2"/>
      <scheme val="minor"/>
    </font>
    <font>
      <vertAlign val="superscript"/>
      <sz val="11"/>
      <color theme="1" tint="0.34998626667073579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vertAlign val="subscript"/>
      <sz val="11"/>
      <color theme="1" tint="0.34998626667073579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vertAlign val="subscript"/>
      <sz val="14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 tint="0.249977111117893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9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 tint="0.34998626667073579"/>
      <name val="Calibri"/>
      <family val="2"/>
      <scheme val="minor"/>
    </font>
    <font>
      <b/>
      <i/>
      <sz val="14"/>
      <color theme="1" tint="0.3499862666707357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vertAlign val="subscript"/>
      <sz val="11"/>
      <color theme="1" tint="0.249977111117893"/>
      <name val="Calibri"/>
      <family val="2"/>
      <scheme val="minor"/>
    </font>
    <font>
      <vertAlign val="superscript"/>
      <sz val="11"/>
      <color theme="1" tint="0.249977111117893"/>
      <name val="Calibri"/>
      <family val="2"/>
      <scheme val="minor"/>
    </font>
    <font>
      <sz val="8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D6C0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B2B2B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499984740745262"/>
      </bottom>
      <diagonal/>
    </border>
    <border>
      <left style="thin">
        <color theme="0" tint="-0.24994659260841701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9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10" borderId="0" xfId="0" applyFill="1" applyAlignment="1">
      <alignment horizontal="center"/>
    </xf>
    <xf numFmtId="164" fontId="0" fillId="0" borderId="0" xfId="0" applyNumberFormat="1"/>
    <xf numFmtId="166" fontId="0" fillId="0" borderId="0" xfId="0" applyNumberFormat="1"/>
    <xf numFmtId="0" fontId="0" fillId="7" borderId="0" xfId="0" applyFill="1" applyAlignment="1">
      <alignment horizontal="center"/>
    </xf>
    <xf numFmtId="0" fontId="0" fillId="12" borderId="0" xfId="0" applyFill="1"/>
    <xf numFmtId="0" fontId="0" fillId="12" borderId="0" xfId="0" applyFill="1" applyAlignment="1">
      <alignment horizontal="right"/>
    </xf>
    <xf numFmtId="0" fontId="0" fillId="13" borderId="0" xfId="0" applyFill="1"/>
    <xf numFmtId="0" fontId="0" fillId="14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0" xfId="0" applyFill="1"/>
    <xf numFmtId="0" fontId="0" fillId="6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14" borderId="0" xfId="0" applyFill="1" applyAlignment="1">
      <alignment horizontal="center"/>
    </xf>
    <xf numFmtId="1" fontId="0" fillId="15" borderId="0" xfId="0" applyNumberFormat="1" applyFill="1"/>
    <xf numFmtId="0" fontId="0" fillId="15" borderId="0" xfId="0" applyFill="1"/>
    <xf numFmtId="0" fontId="0" fillId="15" borderId="0" xfId="0" applyFill="1" applyAlignment="1">
      <alignment horizontal="center"/>
    </xf>
    <xf numFmtId="0" fontId="0" fillId="16" borderId="0" xfId="0" applyFill="1" applyAlignment="1">
      <alignment horizontal="center"/>
    </xf>
    <xf numFmtId="0" fontId="0" fillId="10" borderId="0" xfId="0" applyFill="1" applyAlignment="1">
      <alignment horizontal="center" vertical="center"/>
    </xf>
    <xf numFmtId="0" fontId="0" fillId="15" borderId="0" xfId="0" applyFill="1" applyAlignment="1">
      <alignment vertical="center"/>
    </xf>
    <xf numFmtId="0" fontId="0" fillId="4" borderId="0" xfId="0" applyFill="1" applyAlignment="1">
      <alignment horizontal="center"/>
    </xf>
    <xf numFmtId="3" fontId="0" fillId="3" borderId="1" xfId="0" applyNumberFormat="1" applyFill="1" applyBorder="1" applyAlignment="1">
      <alignment horizontal="center"/>
    </xf>
    <xf numFmtId="0" fontId="7" fillId="15" borderId="0" xfId="0" applyFont="1" applyFill="1" applyAlignment="1">
      <alignment horizontal="center"/>
    </xf>
    <xf numFmtId="0" fontId="0" fillId="15" borderId="0" xfId="0" applyFill="1" applyAlignment="1">
      <alignment horizontal="left"/>
    </xf>
    <xf numFmtId="0" fontId="0" fillId="15" borderId="0" xfId="0" applyFill="1" applyAlignment="1">
      <alignment horizontal="right"/>
    </xf>
    <xf numFmtId="0" fontId="8" fillId="15" borderId="0" xfId="0" applyFont="1" applyFill="1" applyAlignment="1">
      <alignment horizontal="left"/>
    </xf>
    <xf numFmtId="0" fontId="8" fillId="15" borderId="0" xfId="0" applyFont="1" applyFill="1" applyAlignment="1">
      <alignment horizontal="center"/>
    </xf>
    <xf numFmtId="0" fontId="8" fillId="15" borderId="0" xfId="0" applyFont="1" applyFill="1"/>
    <xf numFmtId="0" fontId="0" fillId="17" borderId="0" xfId="0" applyFill="1" applyAlignment="1">
      <alignment horizontal="center"/>
    </xf>
    <xf numFmtId="0" fontId="0" fillId="14" borderId="0" xfId="0" applyFill="1"/>
    <xf numFmtId="0" fontId="12" fillId="15" borderId="0" xfId="0" applyFont="1" applyFill="1"/>
    <xf numFmtId="0" fontId="0" fillId="17" borderId="0" xfId="0" applyFill="1"/>
    <xf numFmtId="0" fontId="4" fillId="15" borderId="0" xfId="0" applyFont="1" applyFill="1" applyAlignment="1">
      <alignment horizontal="center"/>
    </xf>
    <xf numFmtId="0" fontId="15" fillId="15" borderId="0" xfId="0" applyFont="1" applyFill="1"/>
    <xf numFmtId="3" fontId="11" fillId="16" borderId="1" xfId="0" applyNumberFormat="1" applyFont="1" applyFill="1" applyBorder="1" applyAlignment="1">
      <alignment horizontal="center"/>
    </xf>
    <xf numFmtId="0" fontId="8" fillId="15" borderId="0" xfId="0" applyFont="1" applyFill="1" applyAlignment="1">
      <alignment horizontal="right"/>
    </xf>
    <xf numFmtId="0" fontId="17" fillId="15" borderId="0" xfId="0" applyFont="1" applyFill="1" applyAlignment="1">
      <alignment horizontal="right" vertical="center"/>
    </xf>
    <xf numFmtId="0" fontId="11" fillId="15" borderId="0" xfId="0" applyFont="1" applyFill="1" applyAlignment="1">
      <alignment horizontal="center"/>
    </xf>
    <xf numFmtId="0" fontId="4" fillId="15" borderId="0" xfId="0" applyFont="1" applyFill="1" applyAlignment="1">
      <alignment horizontal="right"/>
    </xf>
    <xf numFmtId="165" fontId="0" fillId="14" borderId="4" xfId="0" applyNumberFormat="1" applyFill="1" applyBorder="1" applyAlignment="1">
      <alignment horizontal="center"/>
    </xf>
    <xf numFmtId="2" fontId="0" fillId="14" borderId="4" xfId="0" applyNumberFormat="1" applyFill="1" applyBorder="1" applyAlignment="1">
      <alignment horizontal="center"/>
    </xf>
    <xf numFmtId="1" fontId="0" fillId="14" borderId="4" xfId="0" applyNumberFormat="1" applyFill="1" applyBorder="1" applyAlignment="1">
      <alignment horizontal="center"/>
    </xf>
    <xf numFmtId="2" fontId="0" fillId="14" borderId="5" xfId="0" applyNumberFormat="1" applyFill="1" applyBorder="1" applyAlignment="1">
      <alignment horizontal="center"/>
    </xf>
    <xf numFmtId="166" fontId="0" fillId="14" borderId="4" xfId="0" applyNumberFormat="1" applyFill="1" applyBorder="1" applyAlignment="1">
      <alignment horizontal="center"/>
    </xf>
    <xf numFmtId="1" fontId="0" fillId="10" borderId="4" xfId="0" applyNumberFormat="1" applyFill="1" applyBorder="1"/>
    <xf numFmtId="0" fontId="0" fillId="10" borderId="4" xfId="0" applyFill="1" applyBorder="1" applyAlignment="1">
      <alignment horizontal="center"/>
    </xf>
    <xf numFmtId="0" fontId="4" fillId="15" borderId="0" xfId="0" applyFont="1" applyFill="1"/>
    <xf numFmtId="0" fontId="18" fillId="0" borderId="7" xfId="0" applyFont="1" applyBorder="1"/>
    <xf numFmtId="0" fontId="18" fillId="0" borderId="5" xfId="0" applyFont="1" applyBorder="1"/>
    <xf numFmtId="0" fontId="2" fillId="15" borderId="0" xfId="0" applyFont="1" applyFill="1"/>
    <xf numFmtId="0" fontId="19" fillId="15" borderId="0" xfId="0" applyFont="1" applyFill="1" applyAlignment="1">
      <alignment horizontal="right"/>
    </xf>
    <xf numFmtId="0" fontId="20" fillId="15" borderId="0" xfId="0" applyFont="1" applyFill="1"/>
    <xf numFmtId="0" fontId="12" fillId="15" borderId="0" xfId="0" applyFont="1" applyFill="1" applyAlignment="1">
      <alignment horizontal="center"/>
    </xf>
    <xf numFmtId="0" fontId="0" fillId="15" borderId="0" xfId="0" applyFill="1" applyAlignment="1">
      <alignment horizontal="center" vertical="center"/>
    </xf>
    <xf numFmtId="0" fontId="12" fillId="7" borderId="0" xfId="0" applyFont="1" applyFill="1" applyAlignment="1">
      <alignment horizontal="center"/>
    </xf>
    <xf numFmtId="0" fontId="12" fillId="8" borderId="0" xfId="0" applyFont="1" applyFill="1" applyAlignment="1">
      <alignment horizontal="center"/>
    </xf>
    <xf numFmtId="0" fontId="12" fillId="9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20" fillId="15" borderId="0" xfId="0" applyFont="1" applyFill="1" applyAlignment="1">
      <alignment horizontal="center"/>
    </xf>
    <xf numFmtId="1" fontId="8" fillId="15" borderId="0" xfId="0" applyNumberFormat="1" applyFont="1" applyFill="1" applyAlignment="1">
      <alignment horizontal="center"/>
    </xf>
    <xf numFmtId="0" fontId="8" fillId="15" borderId="0" xfId="0" applyFont="1" applyFill="1" applyAlignment="1">
      <alignment horizontal="left" vertical="center"/>
    </xf>
    <xf numFmtId="0" fontId="8" fillId="15" borderId="0" xfId="0" applyFont="1" applyFill="1" applyAlignment="1">
      <alignment horizontal="right" vertical="center"/>
    </xf>
    <xf numFmtId="0" fontId="8" fillId="15" borderId="0" xfId="0" applyFont="1" applyFill="1" applyAlignment="1">
      <alignment vertical="center"/>
    </xf>
    <xf numFmtId="1" fontId="8" fillId="15" borderId="0" xfId="0" applyNumberFormat="1" applyFont="1" applyFill="1"/>
    <xf numFmtId="164" fontId="8" fillId="10" borderId="0" xfId="0" applyNumberFormat="1" applyFont="1" applyFill="1"/>
    <xf numFmtId="0" fontId="12" fillId="10" borderId="8" xfId="0" applyFont="1" applyFill="1" applyBorder="1" applyAlignment="1">
      <alignment horizontal="center" vertical="center"/>
    </xf>
    <xf numFmtId="166" fontId="12" fillId="2" borderId="8" xfId="0" applyNumberFormat="1" applyFont="1" applyFill="1" applyBorder="1" applyAlignment="1">
      <alignment horizontal="center"/>
    </xf>
    <xf numFmtId="166" fontId="12" fillId="10" borderId="8" xfId="0" applyNumberFormat="1" applyFont="1" applyFill="1" applyBorder="1" applyAlignment="1">
      <alignment horizontal="center"/>
    </xf>
    <xf numFmtId="0" fontId="12" fillId="12" borderId="8" xfId="0" applyFont="1" applyFill="1" applyBorder="1" applyAlignment="1">
      <alignment horizontal="center"/>
    </xf>
    <xf numFmtId="0" fontId="12" fillId="13" borderId="8" xfId="0" applyFont="1" applyFill="1" applyBorder="1" applyAlignment="1">
      <alignment horizontal="center"/>
    </xf>
    <xf numFmtId="2" fontId="12" fillId="12" borderId="8" xfId="0" applyNumberFormat="1" applyFont="1" applyFill="1" applyBorder="1" applyAlignment="1">
      <alignment horizontal="center"/>
    </xf>
    <xf numFmtId="165" fontId="12" fillId="12" borderId="8" xfId="0" applyNumberFormat="1" applyFont="1" applyFill="1" applyBorder="1" applyAlignment="1">
      <alignment horizontal="center"/>
    </xf>
    <xf numFmtId="165" fontId="12" fillId="13" borderId="8" xfId="0" applyNumberFormat="1" applyFont="1" applyFill="1" applyBorder="1" applyAlignment="1">
      <alignment horizontal="center"/>
    </xf>
    <xf numFmtId="164" fontId="12" fillId="12" borderId="8" xfId="0" applyNumberFormat="1" applyFont="1" applyFill="1" applyBorder="1" applyAlignment="1">
      <alignment horizontal="center" vertical="center"/>
    </xf>
    <xf numFmtId="0" fontId="12" fillId="13" borderId="8" xfId="0" applyFont="1" applyFill="1" applyBorder="1" applyAlignment="1">
      <alignment horizontal="center" vertical="center"/>
    </xf>
    <xf numFmtId="0" fontId="12" fillId="14" borderId="8" xfId="0" applyFont="1" applyFill="1" applyBorder="1" applyAlignment="1">
      <alignment horizontal="center"/>
    </xf>
    <xf numFmtId="0" fontId="14" fillId="15" borderId="0" xfId="0" applyFont="1" applyFill="1" applyAlignment="1">
      <alignment horizontal="center"/>
    </xf>
    <xf numFmtId="1" fontId="0" fillId="15" borderId="0" xfId="0" applyNumberFormat="1" applyFill="1" applyAlignment="1">
      <alignment horizontal="center"/>
    </xf>
    <xf numFmtId="0" fontId="0" fillId="10" borderId="0" xfId="0" applyFill="1" applyAlignment="1">
      <alignment horizontal="center" vertical="center" wrapText="1"/>
    </xf>
    <xf numFmtId="0" fontId="0" fillId="18" borderId="0" xfId="0" applyFill="1" applyAlignment="1">
      <alignment horizontal="center" vertical="center"/>
    </xf>
    <xf numFmtId="0" fontId="0" fillId="18" borderId="0" xfId="0" applyFill="1" applyAlignment="1">
      <alignment horizontal="center" vertical="center" wrapText="1"/>
    </xf>
    <xf numFmtId="0" fontId="0" fillId="8" borderId="0" xfId="0" applyFill="1" applyAlignment="1">
      <alignment horizontal="center" vertical="center"/>
    </xf>
    <xf numFmtId="0" fontId="0" fillId="8" borderId="0" xfId="0" applyFill="1" applyAlignment="1">
      <alignment horizontal="center" vertical="center" wrapText="1"/>
    </xf>
    <xf numFmtId="0" fontId="0" fillId="7" borderId="0" xfId="0" applyFill="1" applyAlignment="1">
      <alignment horizontal="center" vertical="center"/>
    </xf>
    <xf numFmtId="0" fontId="0" fillId="7" borderId="0" xfId="0" applyFill="1" applyAlignment="1">
      <alignment horizontal="center" vertical="center" wrapText="1"/>
    </xf>
    <xf numFmtId="0" fontId="12" fillId="6" borderId="0" xfId="0" applyFont="1" applyFill="1" applyAlignment="1">
      <alignment horizontal="center"/>
    </xf>
    <xf numFmtId="166" fontId="0" fillId="10" borderId="0" xfId="0" applyNumberFormat="1" applyFill="1"/>
    <xf numFmtId="1" fontId="0" fillId="10" borderId="0" xfId="0" applyNumberFormat="1" applyFill="1"/>
    <xf numFmtId="9" fontId="0" fillId="15" borderId="0" xfId="0" applyNumberFormat="1" applyFill="1" applyAlignment="1">
      <alignment horizontal="center"/>
    </xf>
    <xf numFmtId="1" fontId="0" fillId="10" borderId="0" xfId="0" applyNumberFormat="1" applyFill="1" applyAlignment="1">
      <alignment horizontal="center"/>
    </xf>
    <xf numFmtId="0" fontId="24" fillId="15" borderId="0" xfId="0" applyFont="1" applyFill="1" applyAlignment="1">
      <alignment horizontal="right" vertical="center"/>
    </xf>
    <xf numFmtId="0" fontId="23" fillId="15" borderId="0" xfId="0" applyFont="1" applyFill="1" applyAlignment="1">
      <alignment horizontal="right" vertical="center"/>
    </xf>
    <xf numFmtId="0" fontId="19" fillId="15" borderId="9" xfId="0" applyFont="1" applyFill="1" applyBorder="1" applyAlignment="1">
      <alignment horizontal="right"/>
    </xf>
    <xf numFmtId="0" fontId="0" fillId="0" borderId="7" xfId="0" applyBorder="1"/>
    <xf numFmtId="0" fontId="22" fillId="0" borderId="5" xfId="0" applyFont="1" applyBorder="1" applyAlignment="1">
      <alignment vertical="top" wrapText="1"/>
    </xf>
    <xf numFmtId="0" fontId="21" fillId="15" borderId="0" xfId="0" applyFont="1" applyFill="1"/>
    <xf numFmtId="2" fontId="0" fillId="7" borderId="0" xfId="0" applyNumberFormat="1" applyFill="1" applyAlignment="1">
      <alignment horizontal="center" vertical="center"/>
    </xf>
    <xf numFmtId="2" fontId="0" fillId="8" borderId="0" xfId="0" applyNumberFormat="1" applyFill="1" applyAlignment="1">
      <alignment horizontal="center" vertical="center"/>
    </xf>
    <xf numFmtId="164" fontId="0" fillId="10" borderId="0" xfId="0" quotePrefix="1" applyNumberFormat="1" applyFill="1" applyAlignment="1">
      <alignment horizontal="center"/>
    </xf>
    <xf numFmtId="0" fontId="0" fillId="20" borderId="2" xfId="0" applyFill="1" applyBorder="1"/>
    <xf numFmtId="0" fontId="0" fillId="20" borderId="3" xfId="0" applyFill="1" applyBorder="1"/>
    <xf numFmtId="0" fontId="8" fillId="7" borderId="0" xfId="0" applyFont="1" applyFill="1" applyAlignment="1" applyProtection="1">
      <alignment horizontal="center"/>
      <protection locked="0"/>
    </xf>
    <xf numFmtId="0" fontId="8" fillId="8" borderId="0" xfId="0" applyFont="1" applyFill="1" applyAlignment="1" applyProtection="1">
      <alignment horizontal="center"/>
      <protection locked="0"/>
    </xf>
    <xf numFmtId="0" fontId="8" fillId="9" borderId="0" xfId="0" applyFont="1" applyFill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0" fontId="9" fillId="15" borderId="0" xfId="0" applyFont="1" applyFill="1" applyAlignment="1">
      <alignment horizontal="center"/>
    </xf>
    <xf numFmtId="0" fontId="0" fillId="21" borderId="0" xfId="0" applyFill="1"/>
    <xf numFmtId="0" fontId="0" fillId="21" borderId="0" xfId="0" applyFill="1" applyAlignment="1">
      <alignment horizontal="center"/>
    </xf>
    <xf numFmtId="0" fontId="27" fillId="15" borderId="0" xfId="0" applyFont="1" applyFill="1" applyAlignment="1">
      <alignment horizontal="center"/>
    </xf>
    <xf numFmtId="167" fontId="18" fillId="0" borderId="5" xfId="0" applyNumberFormat="1" applyFont="1" applyBorder="1" applyAlignment="1" applyProtection="1">
      <alignment horizontal="center"/>
      <protection locked="0"/>
    </xf>
    <xf numFmtId="0" fontId="26" fillId="15" borderId="0" xfId="0" applyFont="1" applyFill="1" applyAlignment="1">
      <alignment vertical="center"/>
    </xf>
    <xf numFmtId="0" fontId="18" fillId="15" borderId="0" xfId="0" applyFont="1" applyFill="1" applyAlignment="1">
      <alignment vertical="center"/>
    </xf>
    <xf numFmtId="0" fontId="26" fillId="15" borderId="0" xfId="0" applyFont="1" applyFill="1"/>
    <xf numFmtId="0" fontId="18" fillId="15" borderId="0" xfId="0" applyFont="1" applyFill="1"/>
    <xf numFmtId="0" fontId="6" fillId="15" borderId="0" xfId="1" applyFill="1" applyBorder="1"/>
    <xf numFmtId="0" fontId="25" fillId="15" borderId="0" xfId="0" applyFont="1" applyFill="1" applyAlignment="1" applyProtection="1">
      <alignment horizontal="left" vertical="center"/>
      <protection locked="0"/>
    </xf>
    <xf numFmtId="0" fontId="18" fillId="0" borderId="6" xfId="0" applyFont="1" applyBorder="1" applyAlignment="1" applyProtection="1">
      <alignment vertical="center"/>
      <protection locked="0"/>
    </xf>
    <xf numFmtId="168" fontId="12" fillId="10" borderId="8" xfId="0" applyNumberFormat="1" applyFont="1" applyFill="1" applyBorder="1" applyAlignment="1">
      <alignment horizontal="center"/>
    </xf>
    <xf numFmtId="164" fontId="0" fillId="14" borderId="1" xfId="0" applyNumberFormat="1" applyFill="1" applyBorder="1" applyAlignment="1">
      <alignment horizontal="center"/>
    </xf>
    <xf numFmtId="168" fontId="0" fillId="0" borderId="0" xfId="0" applyNumberFormat="1"/>
    <xf numFmtId="2" fontId="0" fillId="10" borderId="0" xfId="0" quotePrefix="1" applyNumberFormat="1" applyFill="1" applyAlignment="1">
      <alignment horizontal="center"/>
    </xf>
    <xf numFmtId="1" fontId="8" fillId="10" borderId="0" xfId="0" applyNumberFormat="1" applyFont="1" applyFill="1"/>
    <xf numFmtId="168" fontId="0" fillId="14" borderId="4" xfId="0" applyNumberFormat="1" applyFill="1" applyBorder="1" applyAlignment="1">
      <alignment horizontal="center"/>
    </xf>
    <xf numFmtId="164" fontId="0" fillId="14" borderId="4" xfId="0" applyNumberFormat="1" applyFill="1" applyBorder="1" applyAlignment="1">
      <alignment horizontal="center"/>
    </xf>
    <xf numFmtId="165" fontId="0" fillId="10" borderId="10" xfId="0" applyNumberFormat="1" applyFill="1" applyBorder="1" applyAlignment="1">
      <alignment horizontal="center"/>
    </xf>
    <xf numFmtId="165" fontId="0" fillId="10" borderId="11" xfId="0" applyNumberFormat="1" applyFill="1" applyBorder="1" applyAlignment="1">
      <alignment horizontal="center"/>
    </xf>
    <xf numFmtId="165" fontId="0" fillId="10" borderId="12" xfId="0" applyNumberFormat="1" applyFill="1" applyBorder="1" applyAlignment="1">
      <alignment horizontal="center"/>
    </xf>
    <xf numFmtId="164" fontId="12" fillId="2" borderId="8" xfId="0" applyNumberFormat="1" applyFont="1" applyFill="1" applyBorder="1" applyAlignment="1">
      <alignment horizontal="center"/>
    </xf>
    <xf numFmtId="0" fontId="12" fillId="14" borderId="13" xfId="0" applyFont="1" applyFill="1" applyBorder="1" applyAlignment="1">
      <alignment horizontal="center"/>
    </xf>
    <xf numFmtId="0" fontId="12" fillId="14" borderId="14" xfId="0" applyFont="1" applyFill="1" applyBorder="1" applyAlignment="1">
      <alignment horizontal="center"/>
    </xf>
    <xf numFmtId="0" fontId="12" fillId="14" borderId="15" xfId="0" applyFont="1" applyFill="1" applyBorder="1" applyAlignment="1">
      <alignment horizontal="center"/>
    </xf>
    <xf numFmtId="164" fontId="8" fillId="10" borderId="0" xfId="0" applyNumberFormat="1" applyFont="1" applyFill="1" applyAlignment="1">
      <alignment horizontal="right"/>
    </xf>
    <xf numFmtId="11" fontId="0" fillId="15" borderId="0" xfId="0" applyNumberFormat="1" applyFill="1" applyAlignment="1">
      <alignment horizontal="center"/>
    </xf>
    <xf numFmtId="0" fontId="8" fillId="10" borderId="0" xfId="0" applyFont="1" applyFill="1" applyAlignment="1">
      <alignment vertical="center"/>
    </xf>
    <xf numFmtId="0" fontId="20" fillId="9" borderId="0" xfId="0" applyFont="1" applyFill="1" applyAlignment="1">
      <alignment horizontal="center"/>
    </xf>
    <xf numFmtId="0" fontId="18" fillId="14" borderId="0" xfId="0" applyFont="1" applyFill="1" applyAlignment="1">
      <alignment vertical="center"/>
    </xf>
    <xf numFmtId="0" fontId="22" fillId="14" borderId="0" xfId="0" applyFont="1" applyFill="1" applyAlignment="1" applyProtection="1">
      <alignment vertical="top" wrapText="1"/>
      <protection locked="0"/>
    </xf>
    <xf numFmtId="0" fontId="8" fillId="15" borderId="0" xfId="0" quotePrefix="1" applyFont="1" applyFill="1"/>
    <xf numFmtId="0" fontId="8" fillId="5" borderId="0" xfId="0" applyFont="1" applyFill="1" applyAlignment="1" applyProtection="1">
      <alignment horizontal="center"/>
      <protection locked="0"/>
    </xf>
    <xf numFmtId="0" fontId="12" fillId="5" borderId="0" xfId="0" applyFont="1" applyFill="1" applyAlignment="1">
      <alignment horizontal="center"/>
    </xf>
    <xf numFmtId="0" fontId="8" fillId="22" borderId="0" xfId="0" applyFont="1" applyFill="1" applyAlignment="1" applyProtection="1">
      <alignment horizontal="center"/>
      <protection locked="0"/>
    </xf>
    <xf numFmtId="0" fontId="12" fillId="22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22" borderId="0" xfId="0" applyFill="1" applyAlignment="1">
      <alignment horizontal="center"/>
    </xf>
    <xf numFmtId="0" fontId="8" fillId="10" borderId="0" xfId="0" applyFont="1" applyFill="1" applyAlignment="1">
      <alignment horizontal="center"/>
    </xf>
    <xf numFmtId="170" fontId="11" fillId="2" borderId="1" xfId="0" applyNumberFormat="1" applyFont="1" applyFill="1" applyBorder="1" applyAlignment="1">
      <alignment horizontal="center"/>
    </xf>
    <xf numFmtId="0" fontId="8" fillId="5" borderId="0" xfId="0" applyFont="1" applyFill="1" applyAlignment="1">
      <alignment horizontal="center"/>
    </xf>
    <xf numFmtId="0" fontId="8" fillId="14" borderId="0" xfId="0" applyFont="1" applyFill="1" applyAlignment="1" applyProtection="1">
      <alignment horizontal="center"/>
      <protection locked="0"/>
    </xf>
    <xf numFmtId="0" fontId="12" fillId="14" borderId="0" xfId="0" applyFont="1" applyFill="1" applyAlignment="1">
      <alignment horizontal="center"/>
    </xf>
    <xf numFmtId="166" fontId="0" fillId="15" borderId="0" xfId="0" applyNumberFormat="1" applyFill="1" applyAlignment="1">
      <alignment horizontal="center"/>
    </xf>
    <xf numFmtId="166" fontId="0" fillId="15" borderId="0" xfId="0" applyNumberFormat="1" applyFill="1"/>
    <xf numFmtId="166" fontId="4" fillId="16" borderId="0" xfId="0" applyNumberFormat="1" applyFont="1" applyFill="1"/>
    <xf numFmtId="1" fontId="4" fillId="16" borderId="0" xfId="0" applyNumberFormat="1" applyFont="1" applyFill="1"/>
    <xf numFmtId="164" fontId="0" fillId="10" borderId="0" xfId="0" applyNumberFormat="1" applyFill="1"/>
    <xf numFmtId="164" fontId="0" fillId="4" borderId="0" xfId="0" applyNumberFormat="1" applyFill="1" applyAlignment="1">
      <alignment horizontal="center"/>
    </xf>
    <xf numFmtId="1" fontId="0" fillId="23" borderId="0" xfId="0" applyNumberFormat="1" applyFill="1" applyAlignment="1">
      <alignment horizontal="center"/>
    </xf>
    <xf numFmtId="1" fontId="0" fillId="4" borderId="0" xfId="0" applyNumberFormat="1" applyFill="1" applyAlignment="1">
      <alignment horizontal="center"/>
    </xf>
    <xf numFmtId="9" fontId="0" fillId="0" borderId="0" xfId="0" applyNumberFormat="1" applyAlignment="1">
      <alignment horizontal="center"/>
    </xf>
    <xf numFmtId="164" fontId="0" fillId="23" borderId="0" xfId="0" applyNumberFormat="1" applyFill="1" applyAlignment="1">
      <alignment horizontal="center"/>
    </xf>
    <xf numFmtId="165" fontId="0" fillId="10" borderId="0" xfId="0" quotePrefix="1" applyNumberFormat="1" applyFill="1" applyAlignment="1">
      <alignment horizontal="center"/>
    </xf>
    <xf numFmtId="0" fontId="7" fillId="15" borderId="0" xfId="0" applyFont="1" applyFill="1"/>
    <xf numFmtId="0" fontId="7" fillId="15" borderId="0" xfId="0" applyFont="1" applyFill="1" applyAlignment="1">
      <alignment horizontal="left"/>
    </xf>
    <xf numFmtId="0" fontId="7" fillId="17" borderId="0" xfId="0" applyFont="1" applyFill="1"/>
    <xf numFmtId="1" fontId="0" fillId="11" borderId="0" xfId="0" applyNumberFormat="1" applyFill="1" applyAlignment="1">
      <alignment horizontal="center"/>
    </xf>
    <xf numFmtId="1" fontId="0" fillId="24" borderId="0" xfId="0" applyNumberFormat="1" applyFill="1" applyAlignment="1">
      <alignment horizontal="center"/>
    </xf>
    <xf numFmtId="0" fontId="0" fillId="17" borderId="0" xfId="0" applyFill="1" applyAlignment="1">
      <alignment horizontal="right"/>
    </xf>
    <xf numFmtId="0" fontId="8" fillId="17" borderId="0" xfId="0" applyFont="1" applyFill="1"/>
    <xf numFmtId="171" fontId="28" fillId="0" borderId="1" xfId="3" applyNumberFormat="1" applyFont="1" applyFill="1" applyBorder="1" applyAlignment="1" applyProtection="1">
      <alignment horizontal="center"/>
      <protection locked="0"/>
    </xf>
    <xf numFmtId="9" fontId="0" fillId="17" borderId="0" xfId="0" applyNumberFormat="1" applyFill="1" applyAlignment="1">
      <alignment horizontal="center"/>
    </xf>
    <xf numFmtId="166" fontId="0" fillId="17" borderId="0" xfId="0" applyNumberFormat="1" applyFill="1"/>
    <xf numFmtId="0" fontId="30" fillId="15" borderId="0" xfId="0" applyFont="1" applyFill="1" applyAlignment="1">
      <alignment horizontal="right"/>
    </xf>
    <xf numFmtId="0" fontId="30" fillId="17" borderId="0" xfId="0" applyFont="1" applyFill="1" applyAlignment="1">
      <alignment horizontal="right"/>
    </xf>
    <xf numFmtId="166" fontId="0" fillId="17" borderId="0" xfId="0" applyNumberFormat="1" applyFill="1" applyAlignment="1">
      <alignment horizontal="center"/>
    </xf>
    <xf numFmtId="169" fontId="8" fillId="10" borderId="0" xfId="2" applyNumberFormat="1" applyFont="1" applyFill="1"/>
    <xf numFmtId="0" fontId="0" fillId="19" borderId="0" xfId="0" applyFill="1" applyAlignment="1">
      <alignment horizontal="center"/>
    </xf>
    <xf numFmtId="0" fontId="29" fillId="15" borderId="0" xfId="0" applyFont="1" applyFill="1" applyAlignment="1">
      <alignment horizontal="center"/>
    </xf>
    <xf numFmtId="0" fontId="29" fillId="17" borderId="0" xfId="0" applyFont="1" applyFill="1" applyAlignment="1">
      <alignment horizontal="center"/>
    </xf>
    <xf numFmtId="0" fontId="0" fillId="22" borderId="0" xfId="0" applyFill="1" applyAlignment="1">
      <alignment horizontal="center" vertical="center"/>
    </xf>
    <xf numFmtId="0" fontId="0" fillId="22" borderId="0" xfId="0" applyFill="1" applyAlignment="1">
      <alignment horizontal="center" vertical="center" wrapText="1"/>
    </xf>
    <xf numFmtId="0" fontId="0" fillId="25" borderId="0" xfId="0" applyFill="1"/>
    <xf numFmtId="0" fontId="6" fillId="10" borderId="0" xfId="1" applyFill="1"/>
    <xf numFmtId="0" fontId="0" fillId="14" borderId="0" xfId="0" applyFill="1" applyAlignment="1">
      <alignment vertical="center"/>
    </xf>
    <xf numFmtId="0" fontId="0" fillId="10" borderId="0" xfId="0" applyFill="1" applyAlignment="1">
      <alignment vertical="center"/>
    </xf>
    <xf numFmtId="9" fontId="0" fillId="10" borderId="0" xfId="2" applyFont="1" applyFill="1" applyBorder="1"/>
    <xf numFmtId="0" fontId="0" fillId="14" borderId="17" xfId="0" applyFill="1" applyBorder="1" applyAlignment="1">
      <alignment horizontal="center"/>
    </xf>
    <xf numFmtId="172" fontId="20" fillId="15" borderId="0" xfId="0" applyNumberFormat="1" applyFont="1" applyFill="1" applyAlignment="1">
      <alignment horizontal="center" vertical="center" wrapText="1"/>
    </xf>
    <xf numFmtId="0" fontId="0" fillId="14" borderId="1" xfId="0" applyFill="1" applyBorder="1" applyAlignment="1">
      <alignment horizontal="left"/>
    </xf>
    <xf numFmtId="0" fontId="0" fillId="25" borderId="0" xfId="0" applyFill="1" applyAlignment="1">
      <alignment horizontal="center"/>
    </xf>
    <xf numFmtId="1" fontId="0" fillId="25" borderId="0" xfId="0" applyNumberFormat="1" applyFill="1"/>
    <xf numFmtId="165" fontId="0" fillId="25" borderId="0" xfId="0" applyNumberFormat="1" applyFill="1"/>
    <xf numFmtId="164" fontId="0" fillId="25" borderId="0" xfId="0" applyNumberFormat="1" applyFill="1"/>
    <xf numFmtId="169" fontId="0" fillId="25" borderId="0" xfId="2" applyNumberFormat="1" applyFont="1" applyFill="1"/>
    <xf numFmtId="169" fontId="0" fillId="25" borderId="0" xfId="0" applyNumberFormat="1" applyFill="1"/>
    <xf numFmtId="0" fontId="8" fillId="21" borderId="0" xfId="0" applyFont="1" applyFill="1"/>
    <xf numFmtId="0" fontId="6" fillId="25" borderId="0" xfId="1" applyFill="1"/>
    <xf numFmtId="11" fontId="0" fillId="25" borderId="0" xfId="0" applyNumberFormat="1" applyFill="1"/>
    <xf numFmtId="0" fontId="0" fillId="17" borderId="0" xfId="0" applyFill="1" applyAlignment="1">
      <alignment horizontal="center" wrapText="1"/>
    </xf>
    <xf numFmtId="0" fontId="0" fillId="19" borderId="0" xfId="0" applyFill="1" applyAlignment="1">
      <alignment horizontal="center" wrapText="1"/>
    </xf>
    <xf numFmtId="0" fontId="4" fillId="19" borderId="0" xfId="0" applyFont="1" applyFill="1" applyAlignment="1">
      <alignment horizontal="center"/>
    </xf>
    <xf numFmtId="0" fontId="4" fillId="17" borderId="0" xfId="0" applyFont="1" applyFill="1" applyAlignment="1">
      <alignment horizontal="center"/>
    </xf>
    <xf numFmtId="166" fontId="0" fillId="10" borderId="4" xfId="0" applyNumberFormat="1" applyFill="1" applyBorder="1" applyAlignment="1">
      <alignment vertical="center"/>
    </xf>
    <xf numFmtId="164" fontId="0" fillId="10" borderId="4" xfId="0" applyNumberFormat="1" applyFill="1" applyBorder="1" applyAlignment="1">
      <alignment vertical="center"/>
    </xf>
    <xf numFmtId="0" fontId="0" fillId="14" borderId="4" xfId="0" applyFill="1" applyBorder="1" applyAlignment="1">
      <alignment horizontal="center" vertical="center"/>
    </xf>
    <xf numFmtId="1" fontId="0" fillId="10" borderId="4" xfId="0" applyNumberFormat="1" applyFill="1" applyBorder="1" applyAlignment="1">
      <alignment vertical="center"/>
    </xf>
    <xf numFmtId="9" fontId="0" fillId="10" borderId="4" xfId="2" applyFont="1" applyFill="1" applyBorder="1" applyAlignment="1">
      <alignment vertical="center"/>
    </xf>
    <xf numFmtId="0" fontId="0" fillId="8" borderId="0" xfId="0" applyFill="1" applyAlignment="1">
      <alignment vertical="center"/>
    </xf>
    <xf numFmtId="0" fontId="0" fillId="10" borderId="4" xfId="0" applyFill="1" applyBorder="1" applyAlignment="1">
      <alignment vertical="center"/>
    </xf>
    <xf numFmtId="0" fontId="0" fillId="17" borderId="0" xfId="0" applyFill="1" applyAlignment="1">
      <alignment vertical="center"/>
    </xf>
    <xf numFmtId="0" fontId="0" fillId="15" borderId="4" xfId="0" applyFill="1" applyBorder="1" applyAlignment="1">
      <alignment horizontal="center" vertical="center"/>
    </xf>
    <xf numFmtId="2" fontId="0" fillId="10" borderId="4" xfId="0" applyNumberFormat="1" applyFill="1" applyBorder="1" applyAlignment="1">
      <alignment vertical="center"/>
    </xf>
    <xf numFmtId="168" fontId="0" fillId="10" borderId="4" xfId="2" applyNumberFormat="1" applyFont="1" applyFill="1" applyBorder="1" applyAlignment="1">
      <alignment vertical="center"/>
    </xf>
    <xf numFmtId="0" fontId="0" fillId="15" borderId="4" xfId="0" applyFill="1" applyBorder="1" applyAlignment="1">
      <alignment vertical="center"/>
    </xf>
    <xf numFmtId="169" fontId="0" fillId="10" borderId="4" xfId="0" applyNumberFormat="1" applyFill="1" applyBorder="1" applyAlignment="1">
      <alignment vertical="center"/>
    </xf>
    <xf numFmtId="164" fontId="0" fillId="14" borderId="4" xfId="0" applyNumberFormat="1" applyFill="1" applyBorder="1" applyAlignment="1">
      <alignment vertical="center"/>
    </xf>
    <xf numFmtId="1" fontId="4" fillId="14" borderId="4" xfId="0" applyNumberFormat="1" applyFont="1" applyFill="1" applyBorder="1" applyAlignment="1">
      <alignment vertical="center"/>
    </xf>
    <xf numFmtId="0" fontId="12" fillId="17" borderId="0" xfId="0" applyFont="1" applyFill="1" applyAlignment="1">
      <alignment vertical="center"/>
    </xf>
    <xf numFmtId="0" fontId="0" fillId="17" borderId="9" xfId="0" applyFill="1" applyBorder="1" applyAlignment="1">
      <alignment horizontal="center" vertical="center"/>
    </xf>
    <xf numFmtId="0" fontId="8" fillId="17" borderId="0" xfId="0" applyFont="1" applyFill="1" applyAlignment="1">
      <alignment vertical="center"/>
    </xf>
    <xf numFmtId="166" fontId="0" fillId="15" borderId="4" xfId="0" applyNumberFormat="1" applyFill="1" applyBorder="1" applyAlignment="1">
      <alignment vertical="center"/>
    </xf>
    <xf numFmtId="164" fontId="0" fillId="15" borderId="4" xfId="0" applyNumberFormat="1" applyFill="1" applyBorder="1" applyAlignment="1">
      <alignment vertical="center"/>
    </xf>
    <xf numFmtId="9" fontId="0" fillId="15" borderId="4" xfId="2" applyFont="1" applyFill="1" applyBorder="1" applyAlignment="1">
      <alignment vertical="center"/>
    </xf>
    <xf numFmtId="9" fontId="0" fillId="14" borderId="4" xfId="2" applyFont="1" applyFill="1" applyBorder="1" applyAlignment="1">
      <alignment vertical="center"/>
    </xf>
    <xf numFmtId="9" fontId="0" fillId="14" borderId="0" xfId="2" applyFont="1" applyFill="1" applyBorder="1" applyAlignment="1">
      <alignment vertical="center"/>
    </xf>
    <xf numFmtId="0" fontId="0" fillId="19" borderId="0" xfId="0" applyFill="1" applyAlignment="1">
      <alignment vertical="center"/>
    </xf>
    <xf numFmtId="168" fontId="0" fillId="15" borderId="4" xfId="2" applyNumberFormat="1" applyFont="1" applyFill="1" applyBorder="1" applyAlignment="1">
      <alignment vertical="center"/>
    </xf>
    <xf numFmtId="164" fontId="0" fillId="17" borderId="0" xfId="0" applyNumberFormat="1" applyFill="1" applyAlignment="1">
      <alignment vertical="center"/>
    </xf>
    <xf numFmtId="166" fontId="0" fillId="14" borderId="0" xfId="0" applyNumberFormat="1" applyFill="1" applyAlignment="1">
      <alignment vertical="center"/>
    </xf>
    <xf numFmtId="0" fontId="4" fillId="17" borderId="0" xfId="0" applyFont="1" applyFill="1" applyAlignment="1">
      <alignment horizontal="right" vertical="center"/>
    </xf>
    <xf numFmtId="0" fontId="0" fillId="19" borderId="9" xfId="0" applyFill="1" applyBorder="1" applyAlignment="1">
      <alignment vertical="center"/>
    </xf>
    <xf numFmtId="0" fontId="12" fillId="19" borderId="0" xfId="0" applyFont="1" applyFill="1" applyAlignment="1">
      <alignment vertical="center"/>
    </xf>
    <xf numFmtId="164" fontId="0" fillId="19" borderId="9" xfId="0" applyNumberFormat="1" applyFill="1" applyBorder="1" applyAlignment="1">
      <alignment vertical="center"/>
    </xf>
    <xf numFmtId="0" fontId="0" fillId="19" borderId="9" xfId="0" applyFill="1" applyBorder="1" applyAlignment="1">
      <alignment horizontal="center" vertical="center"/>
    </xf>
    <xf numFmtId="0" fontId="8" fillId="19" borderId="0" xfId="0" applyFont="1" applyFill="1" applyAlignment="1">
      <alignment vertical="center"/>
    </xf>
    <xf numFmtId="0" fontId="0" fillId="25" borderId="0" xfId="0" applyFill="1" applyAlignment="1">
      <alignment vertical="center"/>
    </xf>
    <xf numFmtId="0" fontId="0" fillId="14" borderId="4" xfId="0" applyFill="1" applyBorder="1" applyAlignment="1">
      <alignment vertical="center"/>
    </xf>
    <xf numFmtId="0" fontId="4" fillId="19" borderId="0" xfId="0" applyFont="1" applyFill="1" applyAlignment="1">
      <alignment horizontal="right" vertical="center"/>
    </xf>
    <xf numFmtId="0" fontId="12" fillId="15" borderId="0" xfId="0" applyFont="1" applyFill="1" applyAlignment="1">
      <alignment horizontal="center" vertical="center"/>
    </xf>
    <xf numFmtId="0" fontId="12" fillId="17" borderId="0" xfId="0" applyFont="1" applyFill="1" applyAlignment="1">
      <alignment horizontal="center" vertical="center"/>
    </xf>
    <xf numFmtId="0" fontId="12" fillId="19" borderId="0" xfId="0" applyFont="1" applyFill="1" applyAlignment="1">
      <alignment horizontal="center" vertical="center"/>
    </xf>
    <xf numFmtId="0" fontId="8" fillId="10" borderId="0" xfId="0" applyFont="1" applyFill="1" applyAlignment="1" applyProtection="1">
      <alignment horizontal="center"/>
      <protection locked="0"/>
    </xf>
    <xf numFmtId="0" fontId="0" fillId="17" borderId="0" xfId="0" applyFill="1" applyAlignment="1">
      <alignment horizontal="center" vertical="center"/>
    </xf>
    <xf numFmtId="0" fontId="0" fillId="17" borderId="0" xfId="0" applyFill="1" applyAlignment="1">
      <alignment horizontal="center" vertical="center" wrapText="1"/>
    </xf>
    <xf numFmtId="0" fontId="0" fillId="14" borderId="0" xfId="0" applyFill="1" applyAlignment="1">
      <alignment horizontal="center" vertical="center"/>
    </xf>
    <xf numFmtId="0" fontId="0" fillId="14" borderId="0" xfId="0" applyFill="1" applyAlignment="1">
      <alignment horizontal="center" vertical="center" wrapText="1"/>
    </xf>
    <xf numFmtId="0" fontId="0" fillId="26" borderId="0" xfId="0" applyFill="1" applyAlignment="1">
      <alignment horizontal="center" vertical="center"/>
    </xf>
    <xf numFmtId="0" fontId="0" fillId="26" borderId="0" xfId="0" applyFill="1" applyAlignment="1">
      <alignment horizontal="center" vertical="center" wrapText="1"/>
    </xf>
    <xf numFmtId="0" fontId="4" fillId="15" borderId="0" xfId="0" applyFont="1" applyFill="1" applyAlignment="1">
      <alignment horizontal="center" vertical="center" wrapText="1"/>
    </xf>
    <xf numFmtId="0" fontId="20" fillId="15" borderId="0" xfId="0" applyFont="1" applyFill="1" applyAlignment="1">
      <alignment horizontal="center" vertical="center"/>
    </xf>
    <xf numFmtId="0" fontId="8" fillId="15" borderId="0" xfId="0" applyFont="1" applyFill="1" applyAlignment="1">
      <alignment horizontal="center" vertical="center"/>
    </xf>
    <xf numFmtId="0" fontId="8" fillId="10" borderId="0" xfId="0" applyFont="1" applyFill="1" applyAlignment="1" applyProtection="1">
      <alignment horizontal="center" vertical="center"/>
      <protection locked="0"/>
    </xf>
    <xf numFmtId="0" fontId="0" fillId="17" borderId="9" xfId="0" applyFill="1" applyBorder="1" applyAlignment="1">
      <alignment vertical="center"/>
    </xf>
    <xf numFmtId="164" fontId="0" fillId="17" borderId="9" xfId="0" applyNumberFormat="1" applyFill="1" applyBorder="1" applyAlignment="1">
      <alignment vertical="center"/>
    </xf>
    <xf numFmtId="3" fontId="8" fillId="10" borderId="0" xfId="0" applyNumberFormat="1" applyFont="1" applyFill="1" applyAlignment="1" applyProtection="1">
      <alignment horizontal="center"/>
      <protection locked="0"/>
    </xf>
    <xf numFmtId="166" fontId="0" fillId="10" borderId="0" xfId="0" applyNumberFormat="1" applyFill="1" applyAlignment="1">
      <alignment vertical="center"/>
    </xf>
    <xf numFmtId="166" fontId="0" fillId="15" borderId="0" xfId="0" applyNumberFormat="1" applyFill="1" applyAlignment="1">
      <alignment horizontal="center" vertical="center"/>
    </xf>
    <xf numFmtId="164" fontId="0" fillId="10" borderId="0" xfId="0" applyNumberFormat="1" applyFill="1" applyAlignment="1">
      <alignment vertical="center"/>
    </xf>
    <xf numFmtId="0" fontId="0" fillId="0" borderId="0" xfId="0" applyAlignment="1">
      <alignment horizontal="center" vertical="center"/>
    </xf>
    <xf numFmtId="1" fontId="0" fillId="10" borderId="0" xfId="0" applyNumberFormat="1" applyFill="1" applyAlignment="1">
      <alignment horizontal="center" vertical="center"/>
    </xf>
    <xf numFmtId="9" fontId="0" fillId="10" borderId="0" xfId="2" applyFont="1" applyFill="1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15" borderId="0" xfId="0" applyFill="1" applyAlignment="1">
      <alignment horizontal="center" vertical="center" wrapText="1"/>
    </xf>
    <xf numFmtId="166" fontId="0" fillId="17" borderId="0" xfId="0" applyNumberFormat="1" applyFill="1" applyAlignment="1">
      <alignment horizontal="center" vertical="center"/>
    </xf>
    <xf numFmtId="0" fontId="6" fillId="14" borderId="0" xfId="1" applyFill="1"/>
    <xf numFmtId="0" fontId="6" fillId="14" borderId="0" xfId="1" applyFill="1" applyAlignment="1">
      <alignment vertical="center"/>
    </xf>
    <xf numFmtId="172" fontId="34" fillId="15" borderId="0" xfId="0" applyNumberFormat="1" applyFont="1" applyFill="1" applyAlignment="1">
      <alignment horizontal="center" vertical="center" wrapText="1"/>
    </xf>
    <xf numFmtId="0" fontId="34" fillId="15" borderId="0" xfId="0" applyFont="1" applyFill="1"/>
    <xf numFmtId="0" fontId="0" fillId="15" borderId="0" xfId="0" applyFill="1" applyAlignment="1">
      <alignment horizontal="center" wrapText="1"/>
    </xf>
    <xf numFmtId="0" fontId="12" fillId="15" borderId="0" xfId="0" applyFont="1" applyFill="1" applyAlignment="1">
      <alignment vertical="center"/>
    </xf>
    <xf numFmtId="166" fontId="0" fillId="14" borderId="18" xfId="0" applyNumberFormat="1" applyFill="1" applyBorder="1" applyAlignment="1">
      <alignment vertical="center"/>
    </xf>
    <xf numFmtId="164" fontId="0" fillId="14" borderId="18" xfId="0" applyNumberFormat="1" applyFill="1" applyBorder="1" applyAlignment="1">
      <alignment vertical="center"/>
    </xf>
    <xf numFmtId="0" fontId="0" fillId="15" borderId="19" xfId="0" applyFill="1" applyBorder="1" applyAlignment="1">
      <alignment vertical="center"/>
    </xf>
    <xf numFmtId="1" fontId="4" fillId="14" borderId="18" xfId="0" applyNumberFormat="1" applyFont="1" applyFill="1" applyBorder="1" applyAlignment="1">
      <alignment vertical="center"/>
    </xf>
    <xf numFmtId="0" fontId="0" fillId="15" borderId="18" xfId="0" applyFill="1" applyBorder="1" applyAlignment="1">
      <alignment vertical="center"/>
    </xf>
    <xf numFmtId="0" fontId="4" fillId="15" borderId="0" xfId="0" applyFont="1" applyFill="1" applyAlignment="1">
      <alignment horizontal="right" vertical="center"/>
    </xf>
    <xf numFmtId="0" fontId="12" fillId="27" borderId="0" xfId="0" applyFont="1" applyFill="1" applyAlignment="1">
      <alignment horizontal="center" vertical="center"/>
    </xf>
    <xf numFmtId="0" fontId="4" fillId="27" borderId="0" xfId="0" applyFont="1" applyFill="1" applyAlignment="1">
      <alignment horizontal="center"/>
    </xf>
    <xf numFmtId="0" fontId="0" fillId="27" borderId="0" xfId="0" applyFill="1" applyAlignment="1">
      <alignment horizontal="center" wrapText="1"/>
    </xf>
    <xf numFmtId="0" fontId="0" fillId="27" borderId="0" xfId="0" applyFill="1" applyAlignment="1">
      <alignment horizontal="center"/>
    </xf>
    <xf numFmtId="0" fontId="0" fillId="27" borderId="9" xfId="0" applyFill="1" applyBorder="1" applyAlignment="1">
      <alignment vertical="center"/>
    </xf>
    <xf numFmtId="0" fontId="12" fillId="27" borderId="0" xfId="0" applyFont="1" applyFill="1" applyAlignment="1">
      <alignment vertical="center"/>
    </xf>
    <xf numFmtId="164" fontId="0" fillId="27" borderId="9" xfId="0" applyNumberFormat="1" applyFill="1" applyBorder="1" applyAlignment="1">
      <alignment vertical="center"/>
    </xf>
    <xf numFmtId="0" fontId="0" fillId="27" borderId="9" xfId="0" applyFill="1" applyBorder="1" applyAlignment="1">
      <alignment horizontal="center" vertical="center"/>
    </xf>
    <xf numFmtId="0" fontId="0" fillId="27" borderId="0" xfId="0" applyFill="1" applyAlignment="1">
      <alignment vertical="center"/>
    </xf>
    <xf numFmtId="0" fontId="8" fillId="27" borderId="0" xfId="0" applyFont="1" applyFill="1" applyAlignment="1">
      <alignment vertical="center"/>
    </xf>
    <xf numFmtId="164" fontId="0" fillId="27" borderId="0" xfId="0" applyNumberFormat="1" applyFill="1" applyAlignment="1">
      <alignment vertical="center"/>
    </xf>
    <xf numFmtId="0" fontId="4" fillId="27" borderId="0" xfId="0" applyFont="1" applyFill="1" applyAlignment="1">
      <alignment horizontal="right" vertical="center"/>
    </xf>
    <xf numFmtId="164" fontId="0" fillId="19" borderId="0" xfId="0" applyNumberFormat="1" applyFill="1" applyAlignment="1">
      <alignment vertical="center"/>
    </xf>
    <xf numFmtId="1" fontId="4" fillId="24" borderId="0" xfId="0" applyNumberFormat="1" applyFont="1" applyFill="1" applyAlignment="1">
      <alignment vertical="center"/>
    </xf>
    <xf numFmtId="1" fontId="4" fillId="11" borderId="0" xfId="0" applyNumberFormat="1" applyFont="1" applyFill="1" applyAlignment="1">
      <alignment vertical="center"/>
    </xf>
    <xf numFmtId="0" fontId="0" fillId="22" borderId="0" xfId="0" applyFill="1" applyAlignment="1">
      <alignment horizontal="center" wrapText="1"/>
    </xf>
    <xf numFmtId="167" fontId="17" fillId="15" borderId="0" xfId="0" applyNumberFormat="1" applyFont="1" applyFill="1" applyAlignment="1">
      <alignment horizontal="right" vertical="center"/>
    </xf>
    <xf numFmtId="0" fontId="0" fillId="5" borderId="0" xfId="0" applyFill="1" applyAlignment="1">
      <alignment horizontal="center" wrapText="1"/>
    </xf>
    <xf numFmtId="0" fontId="0" fillId="8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14" borderId="0" xfId="0" applyFill="1" applyAlignment="1">
      <alignment horizontal="center"/>
    </xf>
    <xf numFmtId="0" fontId="8" fillId="15" borderId="0" xfId="0" applyFont="1" applyFill="1" applyAlignment="1">
      <alignment horizontal="right" vertical="center" wrapText="1"/>
    </xf>
    <xf numFmtId="0" fontId="8" fillId="15" borderId="16" xfId="0" applyFont="1" applyFill="1" applyBorder="1" applyAlignment="1">
      <alignment horizontal="right" vertical="center" wrapText="1"/>
    </xf>
    <xf numFmtId="0" fontId="0" fillId="17" borderId="0" xfId="0" applyFill="1" applyAlignment="1">
      <alignment horizontal="center"/>
    </xf>
    <xf numFmtId="0" fontId="4" fillId="17" borderId="0" xfId="0" applyFont="1" applyFill="1" applyAlignment="1">
      <alignment horizontal="center"/>
    </xf>
  </cellXfs>
  <cellStyles count="4">
    <cellStyle name="Comma" xfId="3" builtinId="3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B2B2B2"/>
      <color rgb="FFB8B8B8"/>
      <color rgb="FFD1D1D1"/>
      <color rgb="FF9ECA80"/>
      <color rgb="FFFFFF99"/>
      <color rgb="FFFFFFCC"/>
      <color rgb="FFF2B300"/>
      <color rgb="FFE2A700"/>
      <color rgb="FFFFFF66"/>
      <color rgb="FF29411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7" dropStyle="combo" dx="16" fmlaLink="Choices!$D$5" fmlaRange="Choices!$H$6:$H$12" sel="1" val="0"/>
</file>

<file path=xl/ctrlProps/ctrlProp2.xml><?xml version="1.0" encoding="utf-8"?>
<formControlPr xmlns="http://schemas.microsoft.com/office/spreadsheetml/2009/9/main" objectType="Drop" dropLines="2" dropStyle="combo" dx="16" fmlaLink="Choices!$D$13" fmlaRange="Choices!$H$14:$H$15" sel="2" val="0"/>
</file>

<file path=xl/ctrlProps/ctrlProp3.xml><?xml version="1.0" encoding="utf-8"?>
<formControlPr xmlns="http://schemas.microsoft.com/office/spreadsheetml/2009/9/main" objectType="Drop" dropLines="5" dropStyle="combo" dx="16" fmlaLink="Choices!$D$16" fmlaRange="Choices!$H$17:$H$19" sel="1" val="0"/>
</file>

<file path=xl/ctrlProps/ctrlProp4.xml><?xml version="1.0" encoding="utf-8"?>
<formControlPr xmlns="http://schemas.microsoft.com/office/spreadsheetml/2009/9/main" objectType="Drop" dropLines="4" dropStyle="combo" dx="16" fmlaLink="Choices!$D$20" fmlaRange="Choices!$H$21:$H$24" sel="1" val="0"/>
</file>

<file path=xl/ctrlProps/ctrlProp5.xml><?xml version="1.0" encoding="utf-8"?>
<formControlPr xmlns="http://schemas.microsoft.com/office/spreadsheetml/2009/9/main" objectType="Drop" dropLines="7" dropStyle="combo" dx="16" fmlaLink="Choices!$D$25" fmlaRange="Choices!$H$26:$H$32" sel="2" val="0"/>
</file>

<file path=xl/ctrlProps/ctrlProp6.xml><?xml version="1.0" encoding="utf-8"?>
<formControlPr xmlns="http://schemas.microsoft.com/office/spreadsheetml/2009/9/main" objectType="Drop" dropLines="4" dropStyle="combo" dx="16" fmlaLink="Choices!$D$33" fmlaRange="Choices!$H$34:$H$37" sel="2" val="0"/>
</file>

<file path=xl/ctrlProps/ctrlProp7.xml><?xml version="1.0" encoding="utf-8"?>
<formControlPr xmlns="http://schemas.microsoft.com/office/spreadsheetml/2009/9/main" objectType="Drop" dropLines="2" dropStyle="combo" dx="16" fmlaLink="Choices!$D$38" fmlaRange="Choices!$H$39:$H$40" sel="1" val="0"/>
</file>

<file path=xl/ctrlProps/ctrlProp8.xml><?xml version="1.0" encoding="utf-8"?>
<formControlPr xmlns="http://schemas.microsoft.com/office/spreadsheetml/2009/9/main" objectType="Drop" dropLines="2" dropStyle="combo" dx="16" fmlaLink="Choices!$D$41" fmlaRange="Choices!$H$42:$H$43" sel="2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22</xdr:row>
          <xdr:rowOff>76200</xdr:rowOff>
        </xdr:from>
        <xdr:to>
          <xdr:col>6</xdr:col>
          <xdr:colOff>2867025</xdr:colOff>
          <xdr:row>23</xdr:row>
          <xdr:rowOff>190500</xdr:rowOff>
        </xdr:to>
        <xdr:sp macro="" textlink="">
          <xdr:nvSpPr>
            <xdr:cNvPr id="14337" name="Drop Down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0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24</xdr:row>
          <xdr:rowOff>76200</xdr:rowOff>
        </xdr:from>
        <xdr:to>
          <xdr:col>6</xdr:col>
          <xdr:colOff>2886075</xdr:colOff>
          <xdr:row>26</xdr:row>
          <xdr:rowOff>0</xdr:rowOff>
        </xdr:to>
        <xdr:sp macro="" textlink="">
          <xdr:nvSpPr>
            <xdr:cNvPr id="14338" name="Drop Down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0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27</xdr:row>
          <xdr:rowOff>0</xdr:rowOff>
        </xdr:from>
        <xdr:to>
          <xdr:col>6</xdr:col>
          <xdr:colOff>2886075</xdr:colOff>
          <xdr:row>28</xdr:row>
          <xdr:rowOff>19050</xdr:rowOff>
        </xdr:to>
        <xdr:sp macro="" textlink="">
          <xdr:nvSpPr>
            <xdr:cNvPr id="14339" name="Drop Down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0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28</xdr:row>
          <xdr:rowOff>85725</xdr:rowOff>
        </xdr:from>
        <xdr:to>
          <xdr:col>6</xdr:col>
          <xdr:colOff>2876550</xdr:colOff>
          <xdr:row>30</xdr:row>
          <xdr:rowOff>9525</xdr:rowOff>
        </xdr:to>
        <xdr:sp macro="" textlink="">
          <xdr:nvSpPr>
            <xdr:cNvPr id="14340" name="Drop Down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0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95250</xdr:colOff>
      <xdr:row>0</xdr:row>
      <xdr:rowOff>76200</xdr:rowOff>
    </xdr:from>
    <xdr:to>
      <xdr:col>3</xdr:col>
      <xdr:colOff>419100</xdr:colOff>
      <xdr:row>3</xdr:row>
      <xdr:rowOff>189979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76200"/>
          <a:ext cx="1609725" cy="694804"/>
        </a:xfrm>
        <a:prstGeom prst="rect">
          <a:avLst/>
        </a:prstGeom>
      </xdr:spPr>
    </xdr:pic>
    <xdr:clientData/>
  </xdr:twoCellAnchor>
  <xdr:twoCellAnchor editAs="oneCell">
    <xdr:from>
      <xdr:col>3</xdr:col>
      <xdr:colOff>1394460</xdr:colOff>
      <xdr:row>41</xdr:row>
      <xdr:rowOff>167640</xdr:rowOff>
    </xdr:from>
    <xdr:to>
      <xdr:col>4</xdr:col>
      <xdr:colOff>1348862</xdr:colOff>
      <xdr:row>49</xdr:row>
      <xdr:rowOff>160020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-1" b="49553"/>
        <a:stretch/>
      </xdr:blipFill>
      <xdr:spPr>
        <a:xfrm>
          <a:off x="2712720" y="6134100"/>
          <a:ext cx="1402202" cy="1280160"/>
        </a:xfrm>
        <a:prstGeom prst="rect">
          <a:avLst/>
        </a:prstGeom>
      </xdr:spPr>
    </xdr:pic>
    <xdr:clientData/>
  </xdr:twoCellAnchor>
  <xdr:twoCellAnchor editAs="oneCell">
    <xdr:from>
      <xdr:col>6</xdr:col>
      <xdr:colOff>1127760</xdr:colOff>
      <xdr:row>41</xdr:row>
      <xdr:rowOff>175260</xdr:rowOff>
    </xdr:from>
    <xdr:to>
      <xdr:col>6</xdr:col>
      <xdr:colOff>2457572</xdr:colOff>
      <xdr:row>49</xdr:row>
      <xdr:rowOff>167640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49242" b="313"/>
        <a:stretch/>
      </xdr:blipFill>
      <xdr:spPr>
        <a:xfrm>
          <a:off x="5722620" y="6141720"/>
          <a:ext cx="1402202" cy="128016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32</xdr:row>
          <xdr:rowOff>76200</xdr:rowOff>
        </xdr:from>
        <xdr:to>
          <xdr:col>6</xdr:col>
          <xdr:colOff>2876550</xdr:colOff>
          <xdr:row>34</xdr:row>
          <xdr:rowOff>0</xdr:rowOff>
        </xdr:to>
        <xdr:sp macro="" textlink="">
          <xdr:nvSpPr>
            <xdr:cNvPr id="14342" name="Drop Down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0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34</xdr:row>
          <xdr:rowOff>66675</xdr:rowOff>
        </xdr:from>
        <xdr:to>
          <xdr:col>6</xdr:col>
          <xdr:colOff>2876550</xdr:colOff>
          <xdr:row>36</xdr:row>
          <xdr:rowOff>9525</xdr:rowOff>
        </xdr:to>
        <xdr:sp macro="" textlink="">
          <xdr:nvSpPr>
            <xdr:cNvPr id="14345" name="Drop Down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0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36</xdr:row>
          <xdr:rowOff>66675</xdr:rowOff>
        </xdr:from>
        <xdr:to>
          <xdr:col>6</xdr:col>
          <xdr:colOff>2876550</xdr:colOff>
          <xdr:row>38</xdr:row>
          <xdr:rowOff>9525</xdr:rowOff>
        </xdr:to>
        <xdr:sp macro="" textlink="">
          <xdr:nvSpPr>
            <xdr:cNvPr id="14346" name="Drop Down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0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133350</xdr:colOff>
      <xdr:row>10</xdr:row>
      <xdr:rowOff>47625</xdr:rowOff>
    </xdr:from>
    <xdr:to>
      <xdr:col>1</xdr:col>
      <xdr:colOff>252756</xdr:colOff>
      <xdr:row>10</xdr:row>
      <xdr:rowOff>466826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3350" y="1962150"/>
          <a:ext cx="386106" cy="41920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30</xdr:row>
          <xdr:rowOff>85725</xdr:rowOff>
        </xdr:from>
        <xdr:to>
          <xdr:col>6</xdr:col>
          <xdr:colOff>2876550</xdr:colOff>
          <xdr:row>32</xdr:row>
          <xdr:rowOff>9525</xdr:rowOff>
        </xdr:to>
        <xdr:sp macro="" textlink="">
          <xdr:nvSpPr>
            <xdr:cNvPr id="14348" name="Drop Down 12" hidden="1">
              <a:extLst>
                <a:ext uri="{63B3BB69-23CF-44E3-9099-C40C66FF867C}">
                  <a14:compatExt spid="_x0000_s14348"/>
                </a:ext>
                <a:ext uri="{FF2B5EF4-FFF2-40B4-BE49-F238E27FC236}">
                  <a16:creationId xmlns:a16="http://schemas.microsoft.com/office/drawing/2014/main" id="{00000000-0008-0000-0000-00000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.bin"/><Relationship Id="rId3" Type="http://schemas.openxmlformats.org/officeDocument/2006/relationships/hyperlink" Target="https://www.calportland.com/wp-content/uploads/2023/07/CalPortland-Oro-Grande-EPD20038-2020-11-24.pdf" TargetMode="External"/><Relationship Id="rId7" Type="http://schemas.openxmlformats.org/officeDocument/2006/relationships/hyperlink" Target="https://www.boral.com.au/sites/default/files/media/field_document/Lime-Boral-Lime-and-Limestone-Products-EPD.pdf" TargetMode="External"/><Relationship Id="rId2" Type="http://schemas.openxmlformats.org/officeDocument/2006/relationships/hyperlink" Target="https://www.vulcanmaterials.com/docs/default-source/default-document-library/pleasanton-epd_final" TargetMode="External"/><Relationship Id="rId1" Type="http://schemas.openxmlformats.org/officeDocument/2006/relationships/hyperlink" Target="https://pcr-epd.s3.us-east-2.amazonaws.com/707.EPD_for_Slag_Cement_Industry_Wide_EPD.pdf" TargetMode="External"/><Relationship Id="rId6" Type="http://schemas.openxmlformats.org/officeDocument/2006/relationships/hyperlink" Target="https://pcr-epd.s3.us-east-2.amazonaws.com/487.PCR_for_Manufactured_Concrete_and_Concrete_Masonry_Products.pdf" TargetMode="External"/><Relationship Id="rId5" Type="http://schemas.openxmlformats.org/officeDocument/2006/relationships/hyperlink" Target="http://www.cement.org/docs/default-source/sustainabilty2/pca-portland-cement-epd-062716.pdf?sfvrsn=2" TargetMode="External"/><Relationship Id="rId4" Type="http://schemas.openxmlformats.org/officeDocument/2006/relationships/hyperlink" Target="https://www.crsi.org/wp-content/uploads/CRSI_Industry-Wide_EPD_Sep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99"/>
    <pageSetUpPr fitToPage="1"/>
  </sheetPr>
  <dimension ref="A1:AD81"/>
  <sheetViews>
    <sheetView showGridLines="0" tabSelected="1" topLeftCell="B1" zoomScaleNormal="100" workbookViewId="0">
      <selection activeCell="K1" sqref="K1"/>
    </sheetView>
  </sheetViews>
  <sheetFormatPr defaultRowHeight="15" x14ac:dyDescent="0.25"/>
  <cols>
    <col min="1" max="1" width="4" customWidth="1"/>
    <col min="2" max="2" width="4.7109375" customWidth="1"/>
    <col min="3" max="3" width="10.5703125" customWidth="1"/>
    <col min="4" max="4" width="21.140625" customWidth="1"/>
    <col min="5" max="5" width="25" customWidth="1"/>
    <col min="6" max="6" width="1.7109375" customWidth="1"/>
    <col min="7" max="7" width="43.42578125" customWidth="1"/>
    <col min="8" max="8" width="13.28515625" customWidth="1"/>
    <col min="9" max="9" width="21" customWidth="1"/>
    <col min="10" max="10" width="12.85546875" customWidth="1"/>
    <col min="11" max="11" width="6.85546875" style="2" customWidth="1"/>
    <col min="12" max="12" width="3.7109375" style="2" customWidth="1"/>
    <col min="13" max="13" width="5.42578125" customWidth="1"/>
    <col min="14" max="14" width="8.85546875" style="2" customWidth="1"/>
    <col min="15" max="15" width="45.140625" style="2" customWidth="1"/>
    <col min="16" max="16" width="18.7109375" customWidth="1"/>
    <col min="18" max="18" width="5.5703125" customWidth="1"/>
    <col min="19" max="19" width="9.28515625" customWidth="1"/>
    <col min="20" max="20" width="5.5703125" customWidth="1"/>
    <col min="22" max="22" width="12.140625" customWidth="1"/>
  </cols>
  <sheetData>
    <row r="1" spans="1:30" ht="16.5" customHeigh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96" t="s">
        <v>226</v>
      </c>
      <c r="L1" s="193"/>
      <c r="M1" s="185"/>
      <c r="N1" s="193"/>
      <c r="O1" s="193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</row>
    <row r="2" spans="1:30" ht="6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42"/>
      <c r="K2" s="22"/>
      <c r="L2" s="193"/>
      <c r="M2" s="185"/>
      <c r="N2" s="193"/>
      <c r="O2" s="193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</row>
    <row r="3" spans="1:30" ht="23.25" x14ac:dyDescent="0.35">
      <c r="A3" s="21"/>
      <c r="B3" s="21"/>
      <c r="C3" s="21"/>
      <c r="D3" s="21"/>
      <c r="E3" s="21"/>
      <c r="F3" s="111" t="s">
        <v>172</v>
      </c>
      <c r="G3" s="21"/>
      <c r="H3" s="97"/>
      <c r="I3" s="121"/>
      <c r="J3" s="296">
        <f ca="1">NOW()</f>
        <v>45817.663361921295</v>
      </c>
      <c r="K3" s="296"/>
      <c r="L3" s="193"/>
      <c r="M3" s="185"/>
      <c r="N3" s="193"/>
      <c r="O3" s="193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</row>
    <row r="4" spans="1:30" ht="18.75" x14ac:dyDescent="0.3">
      <c r="A4" s="21"/>
      <c r="B4" s="21"/>
      <c r="C4" s="21"/>
      <c r="D4" s="21"/>
      <c r="E4" s="21"/>
      <c r="F4" s="114" t="s">
        <v>102</v>
      </c>
      <c r="G4" s="21"/>
      <c r="H4" s="97"/>
      <c r="I4" s="121"/>
      <c r="J4" s="21"/>
      <c r="K4" s="22"/>
      <c r="L4" s="193"/>
      <c r="M4" s="185"/>
      <c r="N4" s="193"/>
      <c r="O4" s="193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</row>
    <row r="5" spans="1:30" ht="9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2"/>
      <c r="L5" s="193"/>
      <c r="M5" s="185"/>
      <c r="N5" s="193"/>
      <c r="O5" s="193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</row>
    <row r="6" spans="1:30" x14ac:dyDescent="0.25">
      <c r="A6" s="21"/>
      <c r="B6" s="116"/>
      <c r="C6" s="117"/>
      <c r="D6" s="25"/>
      <c r="E6" s="56" t="s">
        <v>81</v>
      </c>
      <c r="F6" s="36"/>
      <c r="G6" s="122" t="s">
        <v>66</v>
      </c>
      <c r="H6" s="98" t="s">
        <v>87</v>
      </c>
      <c r="I6" s="115">
        <v>45687</v>
      </c>
      <c r="J6" s="21"/>
      <c r="K6" s="22"/>
      <c r="L6" s="193"/>
      <c r="M6" s="185"/>
      <c r="N6" s="193"/>
      <c r="O6" s="193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</row>
    <row r="7" spans="1:30" x14ac:dyDescent="0.25">
      <c r="A7" s="21"/>
      <c r="B7" s="116"/>
      <c r="C7" s="117"/>
      <c r="D7" s="25"/>
      <c r="E7" s="56" t="s">
        <v>82</v>
      </c>
      <c r="F7" s="36"/>
      <c r="G7" s="122" t="s">
        <v>174</v>
      </c>
      <c r="H7" s="53"/>
      <c r="I7" s="54"/>
      <c r="J7" s="21"/>
      <c r="K7" s="22"/>
      <c r="L7" s="193"/>
      <c r="M7" s="185"/>
      <c r="N7" s="193"/>
      <c r="O7" s="193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</row>
    <row r="8" spans="1:30" x14ac:dyDescent="0.25">
      <c r="A8" s="21"/>
      <c r="B8" s="118"/>
      <c r="C8" s="119"/>
      <c r="D8" s="21"/>
      <c r="E8" s="56" t="s">
        <v>83</v>
      </c>
      <c r="F8" s="36"/>
      <c r="G8" s="122" t="s">
        <v>137</v>
      </c>
      <c r="H8" s="53"/>
      <c r="I8" s="54"/>
      <c r="J8" s="21"/>
      <c r="K8" s="22"/>
      <c r="L8" s="193"/>
      <c r="M8" s="185"/>
      <c r="N8" s="193"/>
      <c r="O8" s="193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</row>
    <row r="9" spans="1:30" ht="14.45" customHeight="1" x14ac:dyDescent="0.25">
      <c r="A9" s="21"/>
      <c r="B9" s="118"/>
      <c r="C9" s="119"/>
      <c r="D9" s="120"/>
      <c r="E9" s="56" t="s">
        <v>84</v>
      </c>
      <c r="F9" s="36"/>
      <c r="G9" s="122" t="s">
        <v>67</v>
      </c>
      <c r="H9" s="99"/>
      <c r="I9" s="100"/>
      <c r="J9" s="21"/>
      <c r="K9" s="22"/>
      <c r="L9" s="193"/>
      <c r="M9" s="185"/>
      <c r="N9" s="193"/>
      <c r="O9" s="193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</row>
    <row r="10" spans="1:30" ht="18" customHeight="1" x14ac:dyDescent="0.25">
      <c r="A10" s="21"/>
      <c r="B10" s="118"/>
      <c r="C10" s="119"/>
      <c r="D10" s="21"/>
      <c r="E10" s="56" t="s">
        <v>103</v>
      </c>
      <c r="F10" s="36"/>
      <c r="G10" s="141" t="s">
        <v>104</v>
      </c>
      <c r="H10" s="142"/>
      <c r="I10" s="142"/>
      <c r="J10" s="21"/>
      <c r="K10" s="22"/>
      <c r="L10" s="193"/>
      <c r="M10" s="185"/>
      <c r="N10" s="193"/>
      <c r="O10" s="193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</row>
    <row r="11" spans="1:30" ht="38.25" customHeight="1" x14ac:dyDescent="0.25">
      <c r="A11" s="21"/>
      <c r="B11" s="21"/>
      <c r="C11" s="118" t="s">
        <v>187</v>
      </c>
      <c r="D11" s="21"/>
      <c r="E11" s="21"/>
      <c r="F11" s="21"/>
      <c r="G11" s="21"/>
      <c r="H11" s="21"/>
      <c r="I11" s="21"/>
      <c r="J11" s="21"/>
      <c r="K11" s="22"/>
      <c r="L11" s="193"/>
      <c r="M11" s="185"/>
      <c r="N11" s="193"/>
      <c r="O11" s="193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</row>
    <row r="12" spans="1:30" ht="6.75" customHeight="1" x14ac:dyDescent="0.25">
      <c r="A12" s="21"/>
      <c r="B12" s="21"/>
      <c r="C12" s="21"/>
      <c r="D12" s="21"/>
      <c r="E12" s="21"/>
      <c r="F12" s="21"/>
      <c r="G12" s="21"/>
      <c r="H12" s="22"/>
      <c r="I12" s="22"/>
      <c r="J12" s="22"/>
      <c r="K12" s="22"/>
      <c r="L12" s="193"/>
      <c r="M12" s="185"/>
      <c r="N12" s="193"/>
      <c r="O12" s="193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</row>
    <row r="13" spans="1:30" ht="6" customHeight="1" x14ac:dyDescent="0.25">
      <c r="A13" s="112"/>
      <c r="B13" s="112"/>
      <c r="C13" s="112"/>
      <c r="D13" s="112"/>
      <c r="E13" s="112"/>
      <c r="F13" s="112"/>
      <c r="G13" s="112"/>
      <c r="H13" s="113"/>
      <c r="I13" s="113"/>
      <c r="J13" s="113"/>
      <c r="K13" s="113"/>
      <c r="L13" s="193"/>
      <c r="M13" s="185"/>
      <c r="N13" s="193"/>
      <c r="O13" s="193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</row>
    <row r="14" spans="1:30" ht="26.25" x14ac:dyDescent="0.4">
      <c r="A14" s="21"/>
      <c r="B14" s="21"/>
      <c r="C14" s="21"/>
      <c r="D14" s="21"/>
      <c r="E14" s="28" t="s">
        <v>52</v>
      </c>
      <c r="F14" s="21"/>
      <c r="G14" s="21"/>
      <c r="H14" s="21"/>
      <c r="I14" s="21"/>
      <c r="J14" s="21"/>
      <c r="K14" s="21"/>
      <c r="L14" s="185"/>
      <c r="M14" s="185"/>
      <c r="N14" s="193"/>
      <c r="O14" s="193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</row>
    <row r="15" spans="1:30" ht="19.5" x14ac:dyDescent="0.35">
      <c r="A15" s="21"/>
      <c r="B15" s="23">
        <v>1</v>
      </c>
      <c r="C15" s="301" t="s">
        <v>99</v>
      </c>
      <c r="D15" s="301"/>
      <c r="E15" s="301"/>
      <c r="F15" s="21"/>
      <c r="G15" s="40">
        <f>I15*2.2</f>
        <v>204035.77796433133</v>
      </c>
      <c r="H15" s="33" t="s">
        <v>154</v>
      </c>
      <c r="I15" s="40">
        <f>Calculations!$C$4</f>
        <v>92743.535438332416</v>
      </c>
      <c r="J15" s="33" t="s">
        <v>100</v>
      </c>
      <c r="K15" s="21"/>
      <c r="L15" s="185"/>
      <c r="M15" s="185"/>
      <c r="N15" s="193"/>
      <c r="O15" s="193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</row>
    <row r="16" spans="1:30" ht="9" customHeight="1" x14ac:dyDescent="0.25">
      <c r="A16" s="21"/>
      <c r="B16" s="22"/>
      <c r="C16" s="21"/>
      <c r="D16" s="22"/>
      <c r="E16" s="22"/>
      <c r="F16" s="21"/>
      <c r="G16" s="21"/>
      <c r="H16" s="21"/>
      <c r="I16" s="21"/>
      <c r="J16" s="21"/>
      <c r="K16" s="21"/>
      <c r="L16" s="185"/>
      <c r="M16" s="185"/>
      <c r="N16" s="193"/>
      <c r="O16" s="193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</row>
    <row r="17" spans="1:30" ht="19.5" x14ac:dyDescent="0.35">
      <c r="A17" s="21"/>
      <c r="B17" s="4">
        <v>2</v>
      </c>
      <c r="C17" s="301" t="s">
        <v>99</v>
      </c>
      <c r="D17" s="301"/>
      <c r="E17" s="301"/>
      <c r="F17" s="21"/>
      <c r="G17" s="151">
        <f>I17*2.2/10.76384549</f>
        <v>18.955386282374594</v>
      </c>
      <c r="H17" s="33" t="s">
        <v>153</v>
      </c>
      <c r="I17" s="151">
        <f>Calculations!$C$6</f>
        <v>92.742204157611638</v>
      </c>
      <c r="J17" s="33" t="s">
        <v>101</v>
      </c>
      <c r="K17" s="21"/>
      <c r="L17" s="185"/>
      <c r="M17" s="185"/>
      <c r="N17" s="193"/>
      <c r="O17" s="193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</row>
    <row r="18" spans="1:30" ht="6.75" customHeight="1" x14ac:dyDescent="0.25">
      <c r="A18" s="21"/>
      <c r="B18" s="21"/>
      <c r="C18" s="21"/>
      <c r="D18" s="21"/>
      <c r="E18" s="22"/>
      <c r="F18" s="22"/>
      <c r="G18" s="21"/>
      <c r="H18" s="21"/>
      <c r="I18" s="21"/>
      <c r="J18" s="21"/>
      <c r="K18" s="22"/>
      <c r="L18" s="193"/>
      <c r="M18" s="185"/>
      <c r="N18" s="193"/>
      <c r="O18" s="193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</row>
    <row r="19" spans="1:30" ht="6.75" customHeight="1" x14ac:dyDescent="0.25">
      <c r="A19" s="112"/>
      <c r="B19" s="112"/>
      <c r="C19" s="112"/>
      <c r="D19" s="112"/>
      <c r="E19" s="113"/>
      <c r="F19" s="113"/>
      <c r="G19" s="112"/>
      <c r="H19" s="112"/>
      <c r="I19" s="112"/>
      <c r="J19" s="112"/>
      <c r="K19" s="113"/>
      <c r="L19" s="193"/>
      <c r="M19" s="185"/>
      <c r="N19" s="193"/>
      <c r="O19" s="193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</row>
    <row r="20" spans="1:30" ht="24.75" customHeight="1" x14ac:dyDescent="0.4">
      <c r="A20" s="21"/>
      <c r="B20" s="21"/>
      <c r="C20" s="21"/>
      <c r="D20" s="21"/>
      <c r="E20" s="28" t="s">
        <v>4</v>
      </c>
      <c r="F20" s="22"/>
      <c r="G20" s="21"/>
      <c r="H20" s="21"/>
      <c r="I20" s="21"/>
      <c r="J20" s="21"/>
      <c r="K20" s="22"/>
      <c r="L20" s="193"/>
      <c r="M20" s="185"/>
      <c r="N20" s="193"/>
      <c r="O20" s="193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</row>
    <row r="21" spans="1:30" ht="6.75" customHeight="1" x14ac:dyDescent="0.25">
      <c r="A21" s="21"/>
      <c r="B21" s="21"/>
      <c r="C21" s="21"/>
      <c r="D21" s="21"/>
      <c r="E21" s="22"/>
      <c r="F21" s="22"/>
      <c r="G21" s="21"/>
      <c r="H21" s="21"/>
      <c r="I21" s="21"/>
      <c r="J21" s="21"/>
      <c r="K21" s="22"/>
      <c r="L21" s="193"/>
      <c r="M21" s="185"/>
      <c r="N21" s="193"/>
      <c r="O21" s="193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</row>
    <row r="22" spans="1:30" ht="17.25" x14ac:dyDescent="0.25">
      <c r="A22" s="21"/>
      <c r="B22" s="15">
        <v>1</v>
      </c>
      <c r="C22" s="302" t="s">
        <v>184</v>
      </c>
      <c r="D22" s="302"/>
      <c r="E22" s="302"/>
      <c r="F22" s="22"/>
      <c r="G22" s="173">
        <v>10764</v>
      </c>
      <c r="H22" s="31" t="s">
        <v>105</v>
      </c>
      <c r="I22" s="258">
        <f>SquareMetres</f>
        <v>1000.0143546374908</v>
      </c>
      <c r="J22" s="31" t="s">
        <v>58</v>
      </c>
      <c r="K22" s="22"/>
      <c r="L22" s="193"/>
      <c r="M22" s="185"/>
      <c r="N22" s="193"/>
      <c r="O22" s="193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</row>
    <row r="23" spans="1:30" ht="8.1" customHeight="1" x14ac:dyDescent="0.25">
      <c r="A23" s="21"/>
      <c r="B23" s="22"/>
      <c r="C23" s="22"/>
      <c r="D23" s="22"/>
      <c r="E23" s="22"/>
      <c r="F23" s="22"/>
      <c r="G23" s="22"/>
      <c r="H23" s="21"/>
      <c r="I23" s="21"/>
      <c r="J23" s="21"/>
      <c r="K23" s="22"/>
      <c r="L23" s="193"/>
      <c r="M23" s="185"/>
      <c r="N23" s="193"/>
      <c r="O23" s="193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</row>
    <row r="24" spans="1:30" ht="17.25" x14ac:dyDescent="0.25">
      <c r="A24" s="21"/>
      <c r="B24" s="8">
        <v>2</v>
      </c>
      <c r="C24" s="303" t="str">
        <f>Choices!C5</f>
        <v>Plant and Block Type</v>
      </c>
      <c r="D24" s="303"/>
      <c r="E24" s="303"/>
      <c r="F24" s="22"/>
      <c r="G24" s="21"/>
      <c r="H24" s="21"/>
      <c r="I24" s="258">
        <f>NDCO2</f>
        <v>157</v>
      </c>
      <c r="J24" s="31" t="s">
        <v>216</v>
      </c>
      <c r="K24" s="22"/>
      <c r="L24" s="193"/>
      <c r="M24" s="185"/>
      <c r="N24" s="193"/>
      <c r="O24" s="193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</row>
    <row r="25" spans="1:30" ht="8.1" customHeight="1" x14ac:dyDescent="0.25">
      <c r="A25" s="21"/>
      <c r="B25" s="22"/>
      <c r="C25" s="22"/>
      <c r="D25" s="22"/>
      <c r="E25" s="22"/>
      <c r="F25" s="22"/>
      <c r="G25" s="22"/>
      <c r="H25" s="21"/>
      <c r="I25" s="21"/>
      <c r="J25" s="21"/>
      <c r="K25" s="22"/>
      <c r="L25" s="193"/>
      <c r="M25" s="185"/>
      <c r="N25" s="193"/>
      <c r="O25" s="193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</row>
    <row r="26" spans="1:30" x14ac:dyDescent="0.25">
      <c r="A26" s="21"/>
      <c r="B26" s="16">
        <v>3</v>
      </c>
      <c r="C26" s="298" t="str">
        <f>Choices!C13</f>
        <v>Block Shape</v>
      </c>
      <c r="D26" s="298"/>
      <c r="E26" s="298"/>
      <c r="F26" s="22"/>
      <c r="G26" s="21"/>
      <c r="H26" s="21"/>
      <c r="I26" s="258" t="str">
        <f>Weight</f>
        <v>Double Open End</v>
      </c>
      <c r="J26" s="21"/>
      <c r="K26" s="22"/>
      <c r="L26" s="193"/>
      <c r="M26" s="185"/>
      <c r="N26" s="193"/>
      <c r="O26" s="193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</row>
    <row r="27" spans="1:30" ht="8.1" customHeight="1" x14ac:dyDescent="0.25">
      <c r="A27" s="21"/>
      <c r="B27" s="22"/>
      <c r="C27" s="22"/>
      <c r="D27" s="22"/>
      <c r="E27" s="22"/>
      <c r="F27" s="22"/>
      <c r="G27" s="22"/>
      <c r="H27" s="21"/>
      <c r="I27" s="21"/>
      <c r="J27" s="21"/>
      <c r="K27" s="22"/>
      <c r="L27" s="193"/>
      <c r="M27" s="185"/>
      <c r="N27" s="193"/>
      <c r="O27" s="193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</row>
    <row r="28" spans="1:30" x14ac:dyDescent="0.25">
      <c r="A28" s="21"/>
      <c r="B28" s="17">
        <v>4</v>
      </c>
      <c r="C28" s="299" t="str">
        <f>Choices!C16</f>
        <v>Block Size</v>
      </c>
      <c r="D28" s="299"/>
      <c r="E28" s="299"/>
      <c r="F28" s="22"/>
      <c r="G28" s="21"/>
      <c r="H28" s="33" t="s">
        <v>155</v>
      </c>
      <c r="I28" s="150" t="str">
        <f>Choices!J16</f>
        <v>190 mm</v>
      </c>
      <c r="J28" s="33" t="s">
        <v>155</v>
      </c>
      <c r="K28" s="22"/>
      <c r="L28" s="193"/>
      <c r="M28" s="185"/>
      <c r="N28" s="193"/>
      <c r="O28" s="193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</row>
    <row r="29" spans="1:30" ht="8.1" customHeight="1" x14ac:dyDescent="0.25">
      <c r="A29" s="21"/>
      <c r="B29" s="22"/>
      <c r="C29" s="22"/>
      <c r="D29" s="22"/>
      <c r="E29" s="22"/>
      <c r="F29" s="22"/>
      <c r="G29" s="22"/>
      <c r="H29" s="21"/>
      <c r="I29" s="21"/>
      <c r="J29" s="21"/>
      <c r="K29" s="22"/>
      <c r="L29" s="193"/>
      <c r="M29" s="185"/>
      <c r="N29" s="193"/>
      <c r="O29" s="193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</row>
    <row r="30" spans="1:30" x14ac:dyDescent="0.25">
      <c r="A30" s="21"/>
      <c r="B30" s="18">
        <v>5</v>
      </c>
      <c r="C30" s="300" t="str">
        <f>Choices!C20</f>
        <v>Grout Type</v>
      </c>
      <c r="D30" s="300"/>
      <c r="E30" s="300"/>
      <c r="F30" s="22"/>
      <c r="G30" s="21"/>
      <c r="H30" s="33"/>
      <c r="I30" s="150" t="str">
        <f>Zone</f>
        <v>100% Cement</v>
      </c>
      <c r="J30" s="21"/>
      <c r="K30" s="22"/>
      <c r="L30" s="193"/>
      <c r="M30" s="185"/>
      <c r="N30" s="193"/>
      <c r="O30" s="193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</row>
    <row r="31" spans="1:30" ht="8.1" customHeight="1" x14ac:dyDescent="0.25">
      <c r="A31" s="21"/>
      <c r="B31" s="22"/>
      <c r="C31" s="22"/>
      <c r="D31" s="22"/>
      <c r="E31" s="22"/>
      <c r="F31" s="22"/>
      <c r="G31" s="22"/>
      <c r="H31" s="21"/>
      <c r="I31" s="21"/>
      <c r="J31" s="21"/>
      <c r="K31" s="22"/>
      <c r="L31" s="193"/>
      <c r="M31" s="185"/>
      <c r="N31" s="193"/>
      <c r="O31" s="193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</row>
    <row r="32" spans="1:30" x14ac:dyDescent="0.25">
      <c r="A32" s="21"/>
      <c r="B32" s="19">
        <v>9</v>
      </c>
      <c r="C32" s="304" t="str">
        <f>Choices!C41</f>
        <v>Cement Type for Grout</v>
      </c>
      <c r="D32" s="304"/>
      <c r="E32" s="304"/>
      <c r="F32" s="22"/>
      <c r="G32" s="22"/>
      <c r="H32" s="21"/>
      <c r="I32" s="258">
        <f>OPCCO2Grout</f>
        <v>919</v>
      </c>
      <c r="J32" s="31" t="s">
        <v>217</v>
      </c>
      <c r="K32" s="22"/>
      <c r="L32" s="193"/>
      <c r="M32" s="185"/>
      <c r="N32" s="193"/>
      <c r="O32" s="193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</row>
    <row r="33" spans="1:30" ht="8.1" customHeight="1" x14ac:dyDescent="0.25">
      <c r="A33" s="21"/>
      <c r="B33" s="22"/>
      <c r="C33" s="22"/>
      <c r="D33" s="22"/>
      <c r="E33" s="22"/>
      <c r="F33" s="22"/>
      <c r="G33" s="22"/>
      <c r="H33" s="21"/>
      <c r="I33" s="21"/>
      <c r="J33" s="21"/>
      <c r="K33" s="22"/>
      <c r="L33" s="193"/>
      <c r="M33" s="185"/>
      <c r="N33" s="193"/>
      <c r="O33" s="193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</row>
    <row r="34" spans="1:30" x14ac:dyDescent="0.25">
      <c r="A34" s="21"/>
      <c r="B34" s="148">
        <v>6</v>
      </c>
      <c r="C34" s="297" t="s">
        <v>116</v>
      </c>
      <c r="D34" s="297"/>
      <c r="E34" s="297"/>
      <c r="F34" s="22"/>
      <c r="G34" s="21"/>
      <c r="H34" s="21"/>
      <c r="I34" s="150" t="str">
        <f>Choices!J25</f>
        <v>All</v>
      </c>
      <c r="J34" s="21"/>
      <c r="K34" s="22"/>
      <c r="L34" s="193"/>
      <c r="M34" s="185"/>
      <c r="N34" s="193"/>
      <c r="O34" s="193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</row>
    <row r="35" spans="1:30" ht="8.1" customHeight="1" x14ac:dyDescent="0.25">
      <c r="A35" s="21"/>
      <c r="B35" s="22"/>
      <c r="C35" s="22"/>
      <c r="D35" s="22"/>
      <c r="E35" s="22"/>
      <c r="F35" s="22"/>
      <c r="G35" s="21"/>
      <c r="H35" s="21"/>
      <c r="I35" s="22"/>
      <c r="J35" s="21"/>
      <c r="K35" s="22"/>
      <c r="L35" s="193"/>
      <c r="M35" s="185"/>
      <c r="N35" s="193"/>
      <c r="O35" s="193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</row>
    <row r="36" spans="1:30" ht="13.5" customHeight="1" x14ac:dyDescent="0.25">
      <c r="A36" s="21"/>
      <c r="B36" s="149">
        <v>7</v>
      </c>
      <c r="C36" s="295" t="s">
        <v>111</v>
      </c>
      <c r="D36" s="295"/>
      <c r="E36" s="295"/>
      <c r="F36" s="22"/>
      <c r="G36" s="21"/>
      <c r="H36" s="21"/>
      <c r="I36" s="150" t="str">
        <f>Choices!J33</f>
        <v>600 mm O.C.</v>
      </c>
      <c r="J36" s="21"/>
      <c r="K36" s="22"/>
      <c r="L36" s="193"/>
      <c r="M36" s="185"/>
      <c r="N36" s="193"/>
      <c r="O36" s="193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</row>
    <row r="37" spans="1:30" ht="8.1" customHeight="1" x14ac:dyDescent="0.2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2"/>
      <c r="L37" s="193"/>
      <c r="M37" s="185"/>
      <c r="N37" s="193"/>
      <c r="O37" s="193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</row>
    <row r="38" spans="1:30" ht="13.5" customHeight="1" x14ac:dyDescent="0.25">
      <c r="A38" s="21"/>
      <c r="B38" s="149">
        <v>8</v>
      </c>
      <c r="C38" s="295" t="s">
        <v>165</v>
      </c>
      <c r="D38" s="295"/>
      <c r="E38" s="295"/>
      <c r="F38" s="22"/>
      <c r="G38" s="21"/>
      <c r="H38" s="21"/>
      <c r="I38" s="150" t="str">
        <f>Choices!H38</f>
        <v>Type S</v>
      </c>
      <c r="J38" s="21"/>
      <c r="K38" s="22"/>
      <c r="L38" s="193"/>
      <c r="M38" s="185"/>
      <c r="N38" s="193"/>
      <c r="O38" s="193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</row>
    <row r="39" spans="1:30" ht="6.75" customHeight="1" x14ac:dyDescent="0.25">
      <c r="A39" s="21"/>
      <c r="B39" s="22"/>
      <c r="C39" s="22"/>
      <c r="D39" s="22"/>
      <c r="E39" s="22"/>
      <c r="F39" s="22"/>
      <c r="G39" s="21"/>
      <c r="H39" s="33"/>
      <c r="I39" s="21"/>
      <c r="J39" s="21"/>
      <c r="K39" s="22"/>
      <c r="L39" s="193"/>
      <c r="M39" s="185"/>
      <c r="N39" s="193"/>
      <c r="O39" s="193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</row>
    <row r="40" spans="1:30" x14ac:dyDescent="0.25">
      <c r="A40" s="21"/>
      <c r="B40" s="21"/>
      <c r="C40" s="21"/>
      <c r="D40" s="21"/>
      <c r="E40" s="21"/>
      <c r="F40" s="21"/>
      <c r="G40" s="21"/>
      <c r="H40" s="33"/>
      <c r="I40" s="21"/>
      <c r="J40" s="21"/>
      <c r="K40" s="22"/>
      <c r="L40" s="193"/>
      <c r="M40" s="185"/>
      <c r="N40" s="193"/>
      <c r="O40" s="193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</row>
    <row r="41" spans="1:30" ht="8.25" customHeight="1" x14ac:dyDescent="0.25">
      <c r="A41" s="112"/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93"/>
      <c r="M41" s="185"/>
      <c r="N41" s="193"/>
      <c r="O41" s="193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</row>
    <row r="42" spans="1:30" x14ac:dyDescent="0.25">
      <c r="A42" s="21"/>
      <c r="B42" s="21"/>
      <c r="C42" s="21"/>
      <c r="D42" s="21"/>
      <c r="E42" s="22"/>
      <c r="F42" s="22"/>
      <c r="G42" s="21"/>
      <c r="H42" s="21"/>
      <c r="I42" s="21"/>
      <c r="J42" s="21"/>
      <c r="K42" s="21"/>
      <c r="L42" s="193"/>
      <c r="M42" s="185"/>
      <c r="N42" s="193"/>
      <c r="O42" s="193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</row>
    <row r="43" spans="1:30" ht="8.25" customHeight="1" x14ac:dyDescent="0.25">
      <c r="A43" s="21"/>
      <c r="B43" s="21"/>
      <c r="C43" s="21"/>
      <c r="D43" s="21"/>
      <c r="E43" s="22"/>
      <c r="F43" s="22"/>
      <c r="G43" s="21"/>
      <c r="H43" s="21"/>
      <c r="I43" s="21"/>
      <c r="J43" s="21"/>
      <c r="K43" s="21"/>
      <c r="L43" s="193"/>
      <c r="M43" s="185"/>
      <c r="N43" s="193"/>
      <c r="O43" s="193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</row>
    <row r="44" spans="1:30" x14ac:dyDescent="0.25">
      <c r="A44" s="21"/>
      <c r="B44" s="21"/>
      <c r="C44" s="21"/>
      <c r="D44" s="22" t="s">
        <v>107</v>
      </c>
      <c r="E44" s="21"/>
      <c r="F44" s="21"/>
      <c r="G44" s="21" t="s">
        <v>106</v>
      </c>
      <c r="H44" s="21"/>
      <c r="I44" s="21"/>
      <c r="J44" s="21"/>
      <c r="K44" s="21"/>
      <c r="L44" s="193"/>
      <c r="M44" s="185"/>
      <c r="N44" s="193"/>
      <c r="O44" s="193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</row>
    <row r="45" spans="1:30" ht="7.5" customHeight="1" x14ac:dyDescent="0.25">
      <c r="A45" s="21"/>
      <c r="B45" s="21"/>
      <c r="C45" s="21"/>
      <c r="D45" s="21"/>
      <c r="E45" s="22"/>
      <c r="F45" s="22"/>
      <c r="G45" s="21"/>
      <c r="H45" s="21"/>
      <c r="I45" s="21"/>
      <c r="J45" s="21"/>
      <c r="K45" s="21"/>
      <c r="L45" s="193"/>
      <c r="M45" s="185"/>
      <c r="N45" s="193"/>
      <c r="O45" s="193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</row>
    <row r="46" spans="1:30" x14ac:dyDescent="0.25">
      <c r="A46" s="21"/>
      <c r="B46" s="21"/>
      <c r="C46" s="21"/>
      <c r="D46" s="21"/>
      <c r="E46" s="22"/>
      <c r="F46" s="22"/>
      <c r="G46" s="21"/>
      <c r="H46" s="21"/>
      <c r="I46" s="21"/>
      <c r="J46" s="21"/>
      <c r="K46" s="21"/>
      <c r="L46" s="193"/>
      <c r="M46" s="185"/>
      <c r="N46" s="193"/>
      <c r="O46" s="193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</row>
    <row r="47" spans="1:30" x14ac:dyDescent="0.25">
      <c r="A47" s="21"/>
      <c r="B47" s="21"/>
      <c r="C47" s="21"/>
      <c r="D47" s="21"/>
      <c r="E47" s="22"/>
      <c r="F47" s="22"/>
      <c r="G47" s="21"/>
      <c r="H47" s="21"/>
      <c r="I47" s="21"/>
      <c r="J47" s="21"/>
      <c r="K47" s="21"/>
      <c r="L47" s="193"/>
      <c r="M47" s="185"/>
      <c r="N47" s="193"/>
      <c r="O47" s="193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</row>
    <row r="48" spans="1:30" x14ac:dyDescent="0.25">
      <c r="A48" s="21"/>
      <c r="B48" s="21"/>
      <c r="C48" s="21"/>
      <c r="D48" s="21"/>
      <c r="E48" s="22"/>
      <c r="F48" s="22"/>
      <c r="G48" s="21"/>
      <c r="H48" s="21"/>
      <c r="I48" s="21"/>
      <c r="J48" s="21"/>
      <c r="K48" s="21"/>
      <c r="L48" s="193"/>
      <c r="M48" s="185"/>
      <c r="N48" s="193"/>
      <c r="O48" s="193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</row>
    <row r="49" spans="1:30" x14ac:dyDescent="0.25">
      <c r="A49" s="21"/>
      <c r="B49" s="21"/>
      <c r="C49" s="21"/>
      <c r="D49" s="21"/>
      <c r="E49" s="22"/>
      <c r="F49" s="22"/>
      <c r="G49" s="21"/>
      <c r="H49" s="21"/>
      <c r="I49" s="21"/>
      <c r="J49" s="21"/>
      <c r="K49" s="21"/>
      <c r="L49" s="193"/>
      <c r="M49" s="185"/>
      <c r="N49" s="193"/>
      <c r="O49" s="193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</row>
    <row r="50" spans="1:30" x14ac:dyDescent="0.25">
      <c r="A50" s="21"/>
      <c r="B50" s="21"/>
      <c r="C50" s="21"/>
      <c r="D50" s="21"/>
      <c r="E50" s="22"/>
      <c r="F50" s="22"/>
      <c r="G50" s="21"/>
      <c r="H50" s="21"/>
      <c r="I50" s="21"/>
      <c r="J50" s="21"/>
      <c r="K50" s="21"/>
      <c r="L50" s="193"/>
      <c r="M50" s="185"/>
      <c r="N50" s="193"/>
      <c r="O50" s="193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</row>
    <row r="51" spans="1:30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193"/>
      <c r="M51" s="185"/>
      <c r="N51" s="193"/>
      <c r="O51" s="193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</row>
    <row r="52" spans="1:30" x14ac:dyDescent="0.25">
      <c r="B52" s="185"/>
      <c r="C52" s="185"/>
      <c r="D52" s="185"/>
      <c r="E52" s="185"/>
      <c r="F52" s="185"/>
      <c r="G52" s="185"/>
      <c r="H52" s="185"/>
      <c r="I52" s="185"/>
      <c r="J52" s="185"/>
      <c r="K52" s="193"/>
      <c r="L52" s="193"/>
      <c r="M52" s="185"/>
      <c r="N52" s="193"/>
      <c r="O52" s="193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</row>
    <row r="53" spans="1:30" x14ac:dyDescent="0.25">
      <c r="B53" s="185"/>
      <c r="C53" s="185"/>
      <c r="D53" s="185"/>
      <c r="E53" s="185"/>
      <c r="F53" s="185"/>
      <c r="G53" s="185"/>
      <c r="H53" s="185"/>
      <c r="I53" s="185"/>
      <c r="J53" s="185"/>
      <c r="K53" s="193"/>
      <c r="L53" s="193"/>
      <c r="M53" s="185"/>
      <c r="N53" s="193"/>
      <c r="O53" s="193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</row>
    <row r="54" spans="1:30" x14ac:dyDescent="0.25">
      <c r="B54" s="185"/>
      <c r="C54" s="185"/>
      <c r="D54" s="185"/>
      <c r="E54" s="185"/>
      <c r="F54" s="185"/>
      <c r="G54" s="185"/>
      <c r="H54" s="185"/>
      <c r="I54" s="185"/>
      <c r="J54" s="185"/>
      <c r="K54" s="193"/>
      <c r="L54" s="193"/>
      <c r="M54" s="185"/>
      <c r="N54" s="193"/>
      <c r="O54" s="193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</row>
    <row r="55" spans="1:30" x14ac:dyDescent="0.25">
      <c r="B55" s="185"/>
      <c r="C55" s="185"/>
      <c r="D55" s="185"/>
      <c r="E55" s="185"/>
      <c r="F55" s="185"/>
      <c r="G55" s="185"/>
      <c r="H55" s="185"/>
      <c r="I55" s="185"/>
      <c r="J55" s="185"/>
      <c r="K55" s="193"/>
      <c r="L55" s="193"/>
      <c r="M55" s="185"/>
      <c r="N55" s="193"/>
      <c r="O55" s="193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</row>
    <row r="56" spans="1:30" x14ac:dyDescent="0.25">
      <c r="B56" s="185"/>
      <c r="C56" s="185"/>
      <c r="D56" s="185"/>
      <c r="E56" s="185"/>
      <c r="F56" s="185"/>
      <c r="G56" s="185"/>
      <c r="H56" s="185"/>
      <c r="I56" s="185"/>
      <c r="J56" s="185"/>
      <c r="K56" s="193"/>
      <c r="L56" s="193"/>
      <c r="M56" s="185"/>
      <c r="N56" s="193"/>
      <c r="O56" s="193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</row>
    <row r="57" spans="1:30" x14ac:dyDescent="0.25">
      <c r="B57" s="185"/>
      <c r="C57" s="185"/>
      <c r="D57" s="185"/>
      <c r="E57" s="185"/>
      <c r="F57" s="185"/>
      <c r="G57" s="185"/>
      <c r="H57" s="185"/>
      <c r="I57" s="185"/>
      <c r="J57" s="185"/>
      <c r="K57" s="193"/>
      <c r="L57" s="193"/>
      <c r="M57" s="185"/>
      <c r="N57" s="193"/>
      <c r="O57" s="193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</row>
    <row r="58" spans="1:30" x14ac:dyDescent="0.25">
      <c r="B58" s="185"/>
      <c r="C58" s="185"/>
      <c r="D58" s="185"/>
      <c r="E58" s="185"/>
      <c r="F58" s="185"/>
      <c r="G58" s="185"/>
      <c r="H58" s="185"/>
      <c r="I58" s="185"/>
      <c r="J58" s="185"/>
      <c r="K58" s="193"/>
      <c r="L58" s="193"/>
      <c r="M58" s="185"/>
      <c r="N58" s="193"/>
      <c r="O58" s="193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</row>
    <row r="59" spans="1:30" x14ac:dyDescent="0.25">
      <c r="B59" s="185"/>
      <c r="C59" s="185"/>
      <c r="D59" s="185"/>
      <c r="E59" s="185"/>
      <c r="F59" s="185"/>
      <c r="G59" s="185"/>
      <c r="H59" s="185"/>
      <c r="I59" s="185"/>
      <c r="J59" s="185"/>
      <c r="K59" s="193"/>
      <c r="L59" s="193"/>
      <c r="M59" s="185"/>
      <c r="N59" s="193"/>
      <c r="O59" s="193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</row>
    <row r="60" spans="1:30" x14ac:dyDescent="0.25">
      <c r="B60" s="185"/>
      <c r="C60" s="185"/>
      <c r="D60" s="185"/>
      <c r="E60" s="185"/>
      <c r="F60" s="185"/>
      <c r="G60" s="185"/>
      <c r="H60" s="185"/>
      <c r="I60" s="185"/>
      <c r="J60" s="185"/>
      <c r="K60" s="193"/>
      <c r="L60" s="193"/>
      <c r="M60" s="185"/>
      <c r="N60" s="193"/>
      <c r="O60" s="193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</row>
    <row r="61" spans="1:30" x14ac:dyDescent="0.25">
      <c r="B61" s="185"/>
      <c r="C61" s="185"/>
      <c r="D61" s="185"/>
      <c r="E61" s="185"/>
      <c r="F61" s="185"/>
      <c r="G61" s="185"/>
      <c r="H61" s="185"/>
      <c r="I61" s="185"/>
      <c r="J61" s="185"/>
      <c r="K61" s="193"/>
      <c r="L61" s="193"/>
      <c r="M61" s="185"/>
      <c r="N61" s="193"/>
      <c r="O61" s="193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</row>
    <row r="62" spans="1:30" x14ac:dyDescent="0.25">
      <c r="B62" s="185"/>
      <c r="C62" s="185"/>
      <c r="D62" s="185"/>
      <c r="E62" s="185"/>
      <c r="F62" s="185"/>
      <c r="G62" s="185"/>
      <c r="H62" s="185"/>
      <c r="I62" s="185"/>
      <c r="J62" s="185"/>
      <c r="K62" s="193"/>
      <c r="L62" s="193"/>
      <c r="M62" s="185"/>
      <c r="N62" s="193"/>
      <c r="O62" s="193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</row>
    <row r="63" spans="1:30" x14ac:dyDescent="0.25">
      <c r="B63" s="185"/>
      <c r="C63" s="185"/>
      <c r="D63" s="185"/>
      <c r="E63" s="185"/>
      <c r="F63" s="185"/>
      <c r="G63" s="185"/>
      <c r="H63" s="185"/>
      <c r="I63" s="185"/>
      <c r="J63" s="185"/>
      <c r="K63" s="193"/>
      <c r="L63" s="193"/>
      <c r="M63" s="185"/>
      <c r="N63" s="193"/>
      <c r="O63" s="193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</row>
    <row r="64" spans="1:30" x14ac:dyDescent="0.25">
      <c r="B64" s="185"/>
      <c r="C64" s="185"/>
      <c r="D64" s="185"/>
      <c r="E64" s="185"/>
      <c r="F64" s="185"/>
      <c r="G64" s="185"/>
      <c r="H64" s="185"/>
      <c r="I64" s="185"/>
      <c r="J64" s="185"/>
      <c r="K64" s="193"/>
      <c r="L64" s="193"/>
      <c r="M64" s="185"/>
      <c r="N64" s="193"/>
      <c r="O64" s="193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</row>
    <row r="65" spans="2:30" x14ac:dyDescent="0.25">
      <c r="B65" s="185"/>
      <c r="C65" s="185"/>
      <c r="D65" s="185"/>
      <c r="E65" s="185"/>
      <c r="F65" s="185"/>
      <c r="G65" s="185"/>
      <c r="H65" s="185"/>
      <c r="I65" s="185"/>
      <c r="J65" s="185"/>
      <c r="K65" s="193"/>
      <c r="L65" s="193"/>
      <c r="M65" s="185"/>
      <c r="N65" s="193"/>
      <c r="O65" s="193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</row>
    <row r="66" spans="2:30" x14ac:dyDescent="0.25">
      <c r="B66" s="185"/>
      <c r="C66" s="185"/>
      <c r="D66" s="185"/>
      <c r="E66" s="185"/>
      <c r="F66" s="185"/>
      <c r="G66" s="185"/>
      <c r="H66" s="185"/>
      <c r="I66" s="185"/>
      <c r="J66" s="185"/>
      <c r="K66" s="193"/>
      <c r="L66" s="193"/>
      <c r="M66" s="185"/>
      <c r="N66" s="193"/>
      <c r="O66" s="193"/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</row>
    <row r="67" spans="2:30" x14ac:dyDescent="0.25">
      <c r="B67" s="185"/>
      <c r="C67" s="185"/>
      <c r="D67" s="185"/>
      <c r="E67" s="185"/>
      <c r="F67" s="185"/>
      <c r="G67" s="185"/>
      <c r="H67" s="185"/>
      <c r="I67" s="185"/>
      <c r="J67" s="185"/>
      <c r="K67" s="193"/>
      <c r="L67" s="193"/>
      <c r="M67" s="185"/>
      <c r="N67" s="193"/>
      <c r="O67" s="193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</row>
    <row r="68" spans="2:30" x14ac:dyDescent="0.25">
      <c r="B68" s="185"/>
      <c r="C68" s="185"/>
      <c r="D68" s="185"/>
      <c r="E68" s="185"/>
      <c r="F68" s="185"/>
      <c r="G68" s="185"/>
      <c r="H68" s="185"/>
      <c r="I68" s="185"/>
      <c r="J68" s="185"/>
      <c r="K68" s="193"/>
      <c r="L68" s="193"/>
      <c r="M68" s="185"/>
      <c r="N68" s="193"/>
      <c r="O68" s="193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</row>
    <row r="69" spans="2:30" x14ac:dyDescent="0.25">
      <c r="B69" s="185"/>
      <c r="C69" s="185"/>
      <c r="D69" s="185"/>
      <c r="E69" s="185"/>
      <c r="F69" s="185"/>
      <c r="G69" s="185"/>
      <c r="H69" s="185"/>
      <c r="I69" s="185"/>
      <c r="J69" s="185"/>
      <c r="K69" s="193"/>
      <c r="L69" s="193"/>
      <c r="M69" s="185"/>
      <c r="N69" s="193"/>
      <c r="O69" s="193"/>
      <c r="P69" s="185"/>
      <c r="Q69" s="185"/>
      <c r="R69" s="185"/>
      <c r="S69" s="185"/>
      <c r="T69" s="185"/>
      <c r="U69" s="185"/>
      <c r="V69" s="185"/>
      <c r="W69" s="185"/>
      <c r="X69" s="185"/>
      <c r="Y69" s="185"/>
      <c r="Z69" s="185"/>
      <c r="AA69" s="185"/>
      <c r="AB69" s="185"/>
      <c r="AC69" s="185"/>
      <c r="AD69" s="185"/>
    </row>
    <row r="70" spans="2:30" x14ac:dyDescent="0.25">
      <c r="B70" s="185"/>
      <c r="C70" s="185"/>
      <c r="D70" s="185"/>
      <c r="E70" s="185"/>
      <c r="F70" s="185"/>
      <c r="G70" s="185"/>
      <c r="H70" s="185"/>
      <c r="I70" s="185"/>
      <c r="J70" s="185"/>
      <c r="K70" s="193"/>
      <c r="L70" s="193"/>
      <c r="M70" s="185"/>
      <c r="N70" s="193"/>
      <c r="O70" s="193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Z70" s="185"/>
      <c r="AA70" s="185"/>
      <c r="AB70" s="185"/>
      <c r="AC70" s="185"/>
      <c r="AD70" s="185"/>
    </row>
    <row r="71" spans="2:30" x14ac:dyDescent="0.25">
      <c r="B71" s="185"/>
      <c r="C71" s="185"/>
      <c r="D71" s="185"/>
      <c r="E71" s="185"/>
      <c r="F71" s="185"/>
      <c r="G71" s="185"/>
      <c r="H71" s="185"/>
      <c r="I71" s="185"/>
      <c r="J71" s="185"/>
      <c r="K71" s="193"/>
      <c r="L71" s="193"/>
      <c r="M71" s="185"/>
      <c r="N71" s="193"/>
      <c r="O71" s="193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</row>
    <row r="72" spans="2:30" x14ac:dyDescent="0.25">
      <c r="B72" s="185"/>
      <c r="C72" s="185"/>
      <c r="D72" s="185"/>
      <c r="E72" s="185"/>
      <c r="F72" s="185"/>
      <c r="G72" s="185"/>
      <c r="H72" s="185"/>
      <c r="I72" s="185"/>
      <c r="J72" s="185"/>
      <c r="K72" s="193"/>
      <c r="L72" s="193"/>
      <c r="M72" s="185"/>
      <c r="N72" s="193"/>
      <c r="O72" s="193"/>
      <c r="P72" s="185"/>
      <c r="Q72" s="185"/>
      <c r="R72" s="185"/>
      <c r="S72" s="185"/>
      <c r="T72" s="185"/>
      <c r="U72" s="185"/>
      <c r="V72" s="185"/>
      <c r="W72" s="185"/>
      <c r="X72" s="185"/>
      <c r="Y72" s="185"/>
      <c r="Z72" s="185"/>
      <c r="AA72" s="185"/>
      <c r="AB72" s="185"/>
      <c r="AC72" s="185"/>
      <c r="AD72" s="185"/>
    </row>
    <row r="73" spans="2:30" x14ac:dyDescent="0.25">
      <c r="B73" s="185"/>
      <c r="C73" s="185"/>
      <c r="D73" s="185"/>
      <c r="E73" s="185"/>
      <c r="F73" s="185"/>
      <c r="G73" s="185"/>
      <c r="H73" s="185"/>
      <c r="I73" s="185"/>
      <c r="J73" s="185"/>
      <c r="K73" s="193"/>
      <c r="L73" s="193"/>
      <c r="M73" s="185"/>
      <c r="N73" s="193"/>
      <c r="O73" s="193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</row>
    <row r="74" spans="2:30" x14ac:dyDescent="0.25">
      <c r="B74" s="185"/>
      <c r="C74" s="185"/>
      <c r="D74" s="185"/>
      <c r="E74" s="185"/>
      <c r="F74" s="185"/>
      <c r="G74" s="185"/>
      <c r="H74" s="185"/>
      <c r="I74" s="185"/>
      <c r="J74" s="185"/>
      <c r="K74" s="193"/>
      <c r="L74" s="193"/>
      <c r="M74" s="185"/>
      <c r="N74" s="193"/>
      <c r="O74" s="193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</row>
    <row r="75" spans="2:30" x14ac:dyDescent="0.25">
      <c r="B75" s="185"/>
      <c r="C75" s="185"/>
      <c r="D75" s="185"/>
      <c r="E75" s="185"/>
      <c r="F75" s="185"/>
      <c r="G75" s="185"/>
      <c r="H75" s="185"/>
      <c r="I75" s="185"/>
      <c r="J75" s="185"/>
      <c r="K75" s="193"/>
      <c r="L75" s="193"/>
      <c r="M75" s="185"/>
      <c r="N75" s="193"/>
      <c r="O75" s="193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  <c r="AC75" s="185"/>
      <c r="AD75" s="185"/>
    </row>
    <row r="76" spans="2:30" x14ac:dyDescent="0.25">
      <c r="B76" s="185"/>
      <c r="C76" s="185"/>
      <c r="D76" s="185"/>
      <c r="E76" s="185"/>
      <c r="F76" s="185"/>
      <c r="G76" s="185"/>
      <c r="H76" s="185"/>
      <c r="I76" s="185"/>
      <c r="J76" s="185"/>
      <c r="K76" s="193"/>
      <c r="L76" s="193"/>
      <c r="M76" s="185"/>
      <c r="N76" s="193"/>
      <c r="O76" s="193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85"/>
    </row>
    <row r="77" spans="2:30" x14ac:dyDescent="0.25">
      <c r="B77" s="185"/>
      <c r="C77" s="185"/>
      <c r="D77" s="185"/>
      <c r="E77" s="185"/>
      <c r="F77" s="185"/>
      <c r="G77" s="185"/>
      <c r="H77" s="185"/>
      <c r="I77" s="185"/>
      <c r="J77" s="185"/>
      <c r="K77" s="193"/>
      <c r="L77" s="193"/>
      <c r="M77" s="185"/>
      <c r="N77" s="193"/>
      <c r="O77" s="193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  <c r="AC77" s="185"/>
      <c r="AD77" s="185"/>
    </row>
    <row r="78" spans="2:30" x14ac:dyDescent="0.25">
      <c r="B78" s="185"/>
      <c r="C78" s="185"/>
      <c r="D78" s="185"/>
      <c r="E78" s="185"/>
      <c r="F78" s="185"/>
      <c r="G78" s="185"/>
      <c r="H78" s="185"/>
      <c r="I78" s="185"/>
      <c r="J78" s="185"/>
      <c r="K78" s="193"/>
      <c r="L78" s="193"/>
      <c r="M78" s="185"/>
      <c r="N78" s="193"/>
      <c r="O78" s="193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</row>
    <row r="79" spans="2:30" x14ac:dyDescent="0.25">
      <c r="B79" s="185"/>
      <c r="C79" s="185"/>
      <c r="D79" s="185"/>
      <c r="E79" s="185"/>
      <c r="F79" s="185"/>
      <c r="G79" s="185"/>
      <c r="H79" s="185"/>
      <c r="I79" s="185"/>
      <c r="J79" s="185"/>
      <c r="K79" s="193"/>
      <c r="L79" s="193"/>
      <c r="M79" s="185"/>
      <c r="N79" s="193"/>
      <c r="O79" s="193"/>
      <c r="P79" s="185"/>
      <c r="Q79" s="185"/>
      <c r="R79" s="185"/>
      <c r="S79" s="185"/>
      <c r="T79" s="185"/>
      <c r="U79" s="185"/>
      <c r="V79" s="185"/>
      <c r="W79" s="185"/>
      <c r="X79" s="185"/>
      <c r="Y79" s="185"/>
      <c r="Z79" s="185"/>
      <c r="AA79" s="185"/>
      <c r="AB79" s="185"/>
      <c r="AC79" s="185"/>
      <c r="AD79" s="185"/>
    </row>
    <row r="80" spans="2:30" x14ac:dyDescent="0.25">
      <c r="B80" s="185"/>
      <c r="C80" s="185"/>
      <c r="D80" s="185"/>
      <c r="E80" s="185"/>
      <c r="F80" s="185"/>
      <c r="G80" s="185"/>
      <c r="H80" s="185"/>
      <c r="I80" s="185"/>
      <c r="J80" s="185"/>
      <c r="K80" s="193"/>
      <c r="L80" s="193"/>
      <c r="M80" s="185"/>
      <c r="N80" s="193"/>
      <c r="O80" s="193"/>
      <c r="P80" s="185"/>
      <c r="Q80" s="185"/>
      <c r="R80" s="185"/>
      <c r="S80" s="185"/>
      <c r="T80" s="185"/>
      <c r="U80" s="185"/>
      <c r="V80" s="185"/>
      <c r="W80" s="185"/>
      <c r="X80" s="185"/>
      <c r="Y80" s="185"/>
      <c r="Z80" s="185"/>
      <c r="AA80" s="185"/>
      <c r="AB80" s="185"/>
      <c r="AC80" s="185"/>
      <c r="AD80" s="185"/>
    </row>
    <row r="81" spans="2:30" x14ac:dyDescent="0.25">
      <c r="B81" s="185"/>
      <c r="C81" s="185"/>
      <c r="D81" s="185"/>
      <c r="E81" s="185"/>
      <c r="F81" s="185"/>
      <c r="G81" s="185"/>
      <c r="H81" s="185"/>
      <c r="I81" s="185"/>
      <c r="J81" s="185"/>
      <c r="K81" s="193"/>
      <c r="L81" s="193"/>
      <c r="M81" s="185"/>
      <c r="N81" s="193"/>
      <c r="O81" s="193"/>
      <c r="P81" s="185"/>
      <c r="Q81" s="185"/>
      <c r="R81" s="185"/>
      <c r="S81" s="185"/>
      <c r="T81" s="185"/>
      <c r="U81" s="185"/>
      <c r="V81" s="185"/>
      <c r="W81" s="185"/>
      <c r="X81" s="185"/>
      <c r="Y81" s="185"/>
      <c r="Z81" s="185"/>
      <c r="AA81" s="185"/>
      <c r="AB81" s="185"/>
      <c r="AC81" s="185"/>
      <c r="AD81" s="185"/>
    </row>
  </sheetData>
  <sheetProtection algorithmName="SHA-512" hashValue="QjSHxuvsrpM1j0YUhxJNgARttbKNbkwBddO9Hc/bJGNPsAvhpXpCEjDEbgStDldPcUORQtFjJnk0So9CNp7/kw==" saltValue="wuVLxFlShe7N+DyF8dcOFw==" spinCount="100000" sheet="1" objects="1" scenarios="1"/>
  <mergeCells count="12">
    <mergeCell ref="C38:E38"/>
    <mergeCell ref="J3:K3"/>
    <mergeCell ref="C36:E36"/>
    <mergeCell ref="C34:E34"/>
    <mergeCell ref="C26:E26"/>
    <mergeCell ref="C28:E28"/>
    <mergeCell ref="C30:E30"/>
    <mergeCell ref="C15:E15"/>
    <mergeCell ref="C17:E17"/>
    <mergeCell ref="C22:E22"/>
    <mergeCell ref="C24:E24"/>
    <mergeCell ref="C32:E32"/>
  </mergeCells>
  <pageMargins left="0.7" right="0.7" top="0.75" bottom="0.75" header="0.3" footer="0.3"/>
  <pageSetup scale="61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Drop Down 1">
              <controlPr defaultSize="0" autoLine="0" autoPict="0">
                <anchor moveWithCells="1">
                  <from>
                    <xdr:col>5</xdr:col>
                    <xdr:colOff>114300</xdr:colOff>
                    <xdr:row>22</xdr:row>
                    <xdr:rowOff>76200</xdr:rowOff>
                  </from>
                  <to>
                    <xdr:col>6</xdr:col>
                    <xdr:colOff>2867025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Drop Down 2">
              <controlPr defaultSize="0" autoLine="0" autoPict="0">
                <anchor moveWithCells="1">
                  <from>
                    <xdr:col>6</xdr:col>
                    <xdr:colOff>19050</xdr:colOff>
                    <xdr:row>24</xdr:row>
                    <xdr:rowOff>76200</xdr:rowOff>
                  </from>
                  <to>
                    <xdr:col>6</xdr:col>
                    <xdr:colOff>2886075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Drop Down 3">
              <controlPr defaultSize="0" autoLine="0" autoPict="0">
                <anchor moveWithCells="1">
                  <from>
                    <xdr:col>6</xdr:col>
                    <xdr:colOff>19050</xdr:colOff>
                    <xdr:row>27</xdr:row>
                    <xdr:rowOff>0</xdr:rowOff>
                  </from>
                  <to>
                    <xdr:col>6</xdr:col>
                    <xdr:colOff>2886075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Drop Down 4">
              <controlPr defaultSize="0" autoLine="0" autoPict="0">
                <anchor moveWithCells="1">
                  <from>
                    <xdr:col>6</xdr:col>
                    <xdr:colOff>9525</xdr:colOff>
                    <xdr:row>28</xdr:row>
                    <xdr:rowOff>85725</xdr:rowOff>
                  </from>
                  <to>
                    <xdr:col>6</xdr:col>
                    <xdr:colOff>2876550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8" name="Drop Down 6">
              <controlPr defaultSize="0" autoLine="0" autoPict="0">
                <anchor moveWithCells="1">
                  <from>
                    <xdr:col>6</xdr:col>
                    <xdr:colOff>9525</xdr:colOff>
                    <xdr:row>32</xdr:row>
                    <xdr:rowOff>76200</xdr:rowOff>
                  </from>
                  <to>
                    <xdr:col>6</xdr:col>
                    <xdr:colOff>2876550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9" name="Drop Down 9">
              <controlPr defaultSize="0" autoLine="0" autoPict="0">
                <anchor moveWithCells="1">
                  <from>
                    <xdr:col>6</xdr:col>
                    <xdr:colOff>9525</xdr:colOff>
                    <xdr:row>34</xdr:row>
                    <xdr:rowOff>66675</xdr:rowOff>
                  </from>
                  <to>
                    <xdr:col>6</xdr:col>
                    <xdr:colOff>2876550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0" name="Drop Down 10">
              <controlPr defaultSize="0" autoLine="0" autoPict="0">
                <anchor moveWithCells="1">
                  <from>
                    <xdr:col>6</xdr:col>
                    <xdr:colOff>9525</xdr:colOff>
                    <xdr:row>36</xdr:row>
                    <xdr:rowOff>66675</xdr:rowOff>
                  </from>
                  <to>
                    <xdr:col>6</xdr:col>
                    <xdr:colOff>2876550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r:id="rId11" name="Drop Down 12">
              <controlPr defaultSize="0" autoLine="0" autoPict="0">
                <anchor moveWithCells="1">
                  <from>
                    <xdr:col>6</xdr:col>
                    <xdr:colOff>9525</xdr:colOff>
                    <xdr:row>30</xdr:row>
                    <xdr:rowOff>85725</xdr:rowOff>
                  </from>
                  <to>
                    <xdr:col>6</xdr:col>
                    <xdr:colOff>2876550</xdr:colOff>
                    <xdr:row>32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>
    <tabColor theme="0" tint="-0.14999847407452621"/>
  </sheetPr>
  <dimension ref="A1:BU108"/>
  <sheetViews>
    <sheetView showGridLines="0" zoomScaleNormal="100" workbookViewId="0">
      <selection activeCell="K1" sqref="K1"/>
    </sheetView>
  </sheetViews>
  <sheetFormatPr defaultRowHeight="15" x14ac:dyDescent="0.25"/>
  <cols>
    <col min="1" max="1" width="4" customWidth="1"/>
    <col min="2" max="2" width="4.7109375" customWidth="1"/>
    <col min="3" max="3" width="31.28515625" customWidth="1"/>
    <col min="4" max="4" width="14.7109375" customWidth="1"/>
    <col min="5" max="5" width="5.7109375" customWidth="1"/>
    <col min="6" max="6" width="4" customWidth="1"/>
    <col min="7" max="7" width="6.5703125" customWidth="1"/>
    <col min="8" max="8" width="36.140625" customWidth="1"/>
    <col min="9" max="9" width="21.28515625" customWidth="1"/>
    <col min="10" max="10" width="14" customWidth="1"/>
    <col min="11" max="11" width="5.42578125" customWidth="1"/>
  </cols>
  <sheetData>
    <row r="1" spans="1:73" ht="23.25" customHeight="1" x14ac:dyDescent="0.3">
      <c r="A1" s="21"/>
      <c r="B1" s="21"/>
      <c r="C1" s="39" t="s">
        <v>140</v>
      </c>
      <c r="D1" s="21"/>
      <c r="E1" s="21"/>
      <c r="F1" s="21"/>
      <c r="G1" s="21"/>
      <c r="H1" s="21"/>
      <c r="I1" s="21"/>
      <c r="J1" s="21"/>
      <c r="K1" s="96" t="str">
        <f>ver</f>
        <v>ver 1.9</v>
      </c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5"/>
      <c r="AM1" s="185"/>
      <c r="AN1" s="185"/>
      <c r="AO1" s="185"/>
      <c r="AP1" s="185"/>
      <c r="AQ1" s="185"/>
      <c r="AR1" s="185"/>
      <c r="AS1" s="185"/>
      <c r="AT1" s="185"/>
      <c r="AU1" s="185"/>
      <c r="AV1" s="185"/>
      <c r="AW1" s="185"/>
      <c r="AX1" s="185"/>
      <c r="AY1" s="185"/>
      <c r="AZ1" s="185"/>
      <c r="BA1" s="185"/>
      <c r="BB1" s="185"/>
      <c r="BC1" s="185"/>
      <c r="BD1" s="185"/>
      <c r="BE1" s="185"/>
      <c r="BF1" s="185"/>
      <c r="BG1" s="185"/>
      <c r="BH1" s="185"/>
      <c r="BI1" s="185"/>
      <c r="BJ1" s="185"/>
      <c r="BK1" s="185"/>
      <c r="BL1" s="185"/>
      <c r="BM1" s="185"/>
      <c r="BN1" s="185"/>
      <c r="BO1" s="185"/>
      <c r="BP1" s="185"/>
      <c r="BQ1" s="185"/>
      <c r="BR1" s="185"/>
      <c r="BS1" s="185"/>
      <c r="BT1" s="185"/>
      <c r="BU1" s="185"/>
    </row>
    <row r="2" spans="1:73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Q2" s="185"/>
      <c r="AR2" s="185"/>
      <c r="AS2" s="185"/>
      <c r="AT2" s="185"/>
      <c r="AU2" s="185"/>
      <c r="AV2" s="185"/>
      <c r="AW2" s="185"/>
      <c r="AX2" s="185"/>
      <c r="AY2" s="185"/>
      <c r="AZ2" s="185"/>
      <c r="BA2" s="185"/>
      <c r="BB2" s="185"/>
      <c r="BC2" s="185"/>
      <c r="BD2" s="185"/>
      <c r="BE2" s="185"/>
      <c r="BF2" s="185"/>
      <c r="BG2" s="185"/>
      <c r="BH2" s="185"/>
      <c r="BI2" s="185"/>
      <c r="BJ2" s="185"/>
      <c r="BK2" s="185"/>
      <c r="BL2" s="185"/>
      <c r="BM2" s="185"/>
      <c r="BN2" s="185"/>
      <c r="BO2" s="185"/>
      <c r="BP2" s="185"/>
      <c r="BQ2" s="185"/>
      <c r="BR2" s="185"/>
      <c r="BS2" s="185"/>
      <c r="BT2" s="185"/>
      <c r="BU2" s="185"/>
    </row>
    <row r="3" spans="1:73" ht="26.25" x14ac:dyDescent="0.4">
      <c r="A3" s="21"/>
      <c r="B3" s="21"/>
      <c r="C3" s="28" t="s">
        <v>42</v>
      </c>
      <c r="D3" s="21"/>
      <c r="E3" s="21"/>
      <c r="F3" s="21"/>
      <c r="G3" s="21"/>
      <c r="H3" s="21"/>
      <c r="I3" s="21"/>
      <c r="J3" s="21"/>
      <c r="K3" s="21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185"/>
      <c r="AM3" s="185"/>
      <c r="AN3" s="185"/>
      <c r="AO3" s="185"/>
      <c r="AP3" s="185"/>
      <c r="AQ3" s="185"/>
      <c r="AR3" s="185"/>
      <c r="AS3" s="185"/>
      <c r="AT3" s="185"/>
      <c r="AU3" s="185"/>
      <c r="AV3" s="185"/>
      <c r="AW3" s="185"/>
      <c r="AX3" s="185"/>
      <c r="AY3" s="185"/>
      <c r="AZ3" s="185"/>
      <c r="BA3" s="185"/>
      <c r="BB3" s="185"/>
      <c r="BC3" s="185"/>
      <c r="BD3" s="185"/>
      <c r="BE3" s="185"/>
      <c r="BF3" s="185"/>
      <c r="BG3" s="185"/>
      <c r="BH3" s="185"/>
      <c r="BI3" s="185"/>
      <c r="BJ3" s="185"/>
      <c r="BK3" s="185"/>
      <c r="BL3" s="185"/>
      <c r="BM3" s="185"/>
      <c r="BN3" s="185"/>
      <c r="BO3" s="185"/>
      <c r="BP3" s="185"/>
      <c r="BQ3" s="185"/>
      <c r="BR3" s="185"/>
      <c r="BS3" s="185"/>
      <c r="BT3" s="185"/>
      <c r="BU3" s="185"/>
    </row>
    <row r="4" spans="1:73" ht="17.25" x14ac:dyDescent="0.25">
      <c r="A4" s="21"/>
      <c r="B4" s="21"/>
      <c r="C4" s="38" t="s">
        <v>5</v>
      </c>
      <c r="D4" s="1">
        <v>100</v>
      </c>
      <c r="E4" s="21" t="s">
        <v>6</v>
      </c>
      <c r="F4" s="21"/>
      <c r="G4" s="91">
        <v>1.1000000000000001</v>
      </c>
      <c r="H4" s="21"/>
      <c r="I4" s="21"/>
      <c r="J4" s="58" t="s">
        <v>124</v>
      </c>
      <c r="K4" s="21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  <c r="AN4" s="185"/>
      <c r="AO4" s="185"/>
      <c r="AP4" s="185"/>
      <c r="AQ4" s="185"/>
      <c r="AR4" s="185"/>
      <c r="AS4" s="185"/>
      <c r="AT4" s="185"/>
      <c r="AU4" s="185"/>
      <c r="AV4" s="185"/>
      <c r="AW4" s="185"/>
      <c r="AX4" s="185"/>
      <c r="AY4" s="185"/>
      <c r="AZ4" s="185"/>
      <c r="BA4" s="185"/>
      <c r="BB4" s="185"/>
      <c r="BC4" s="185"/>
      <c r="BD4" s="185"/>
      <c r="BE4" s="185"/>
      <c r="BF4" s="185"/>
      <c r="BG4" s="185"/>
      <c r="BH4" s="185"/>
      <c r="BI4" s="185"/>
      <c r="BJ4" s="185"/>
      <c r="BK4" s="185"/>
      <c r="BL4" s="185"/>
      <c r="BM4" s="185"/>
      <c r="BN4" s="185"/>
      <c r="BO4" s="185"/>
      <c r="BP4" s="185"/>
      <c r="BQ4" s="185"/>
      <c r="BR4" s="185"/>
      <c r="BS4" s="185"/>
      <c r="BT4" s="185"/>
      <c r="BU4" s="185"/>
    </row>
    <row r="5" spans="1:73" x14ac:dyDescent="0.25">
      <c r="A5" s="21"/>
      <c r="B5" s="21"/>
      <c r="C5" s="38" t="s">
        <v>191</v>
      </c>
      <c r="D5" s="107">
        <v>1</v>
      </c>
      <c r="E5" s="21"/>
      <c r="F5" s="21"/>
      <c r="G5" s="58">
        <f>VLOOKUP(WallTypeNum,$F6:$H12,2)</f>
        <v>2.1</v>
      </c>
      <c r="H5" s="36" t="str">
        <f>VLOOKUP(WallTypeNum,$F6:$J12,3)</f>
        <v>Sun Valley (Tuxford) TX Medium Weight Gray Block</v>
      </c>
      <c r="I5" s="21"/>
      <c r="J5" s="32">
        <f>VLOOKUP(WallTypeNum,$F6:$J12,5)</f>
        <v>157</v>
      </c>
      <c r="K5" s="21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P5" s="185"/>
      <c r="AQ5" s="185"/>
      <c r="AR5" s="185"/>
      <c r="AS5" s="185"/>
      <c r="AT5" s="185"/>
      <c r="AU5" s="185"/>
      <c r="AV5" s="185"/>
      <c r="AW5" s="185"/>
      <c r="AX5" s="185"/>
      <c r="AY5" s="185"/>
      <c r="AZ5" s="185"/>
      <c r="BA5" s="185"/>
      <c r="BB5" s="185"/>
      <c r="BC5" s="185"/>
      <c r="BD5" s="185"/>
      <c r="BE5" s="185"/>
      <c r="BF5" s="185"/>
      <c r="BG5" s="185"/>
      <c r="BH5" s="185"/>
      <c r="BI5" s="185"/>
      <c r="BJ5" s="185"/>
      <c r="BK5" s="185"/>
      <c r="BL5" s="185"/>
      <c r="BM5" s="185"/>
      <c r="BN5" s="185"/>
      <c r="BO5" s="185"/>
      <c r="BP5" s="185"/>
      <c r="BQ5" s="185"/>
      <c r="BR5" s="185"/>
      <c r="BS5" s="185"/>
      <c r="BT5" s="185"/>
      <c r="BU5" s="185"/>
    </row>
    <row r="6" spans="1:73" x14ac:dyDescent="0.25">
      <c r="A6" s="21"/>
      <c r="B6" s="21"/>
      <c r="C6" s="38"/>
      <c r="D6" s="1">
        <v>1</v>
      </c>
      <c r="E6" s="21"/>
      <c r="F6" s="64">
        <v>1</v>
      </c>
      <c r="G6" s="60">
        <v>2.1</v>
      </c>
      <c r="H6" s="105" t="s">
        <v>192</v>
      </c>
      <c r="I6" s="106"/>
      <c r="J6" s="150">
        <f>EPD!E25</f>
        <v>157</v>
      </c>
      <c r="K6" s="21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5"/>
      <c r="AT6" s="185"/>
      <c r="AU6" s="185"/>
      <c r="AV6" s="185"/>
      <c r="AW6" s="185"/>
      <c r="AX6" s="185"/>
      <c r="AY6" s="185"/>
      <c r="AZ6" s="185"/>
      <c r="BA6" s="185"/>
      <c r="BB6" s="185"/>
      <c r="BC6" s="185"/>
      <c r="BD6" s="185"/>
      <c r="BE6" s="185"/>
      <c r="BF6" s="185"/>
      <c r="BG6" s="185"/>
      <c r="BH6" s="185"/>
      <c r="BI6" s="185"/>
      <c r="BJ6" s="185"/>
      <c r="BK6" s="185"/>
      <c r="BL6" s="185"/>
      <c r="BM6" s="185"/>
      <c r="BN6" s="185"/>
      <c r="BO6" s="185"/>
      <c r="BP6" s="185"/>
      <c r="BQ6" s="185"/>
      <c r="BR6" s="185"/>
      <c r="BS6" s="185"/>
      <c r="BT6" s="185"/>
      <c r="BU6" s="185"/>
    </row>
    <row r="7" spans="1:73" x14ac:dyDescent="0.25">
      <c r="A7" s="21"/>
      <c r="B7" s="21"/>
      <c r="C7" s="38"/>
      <c r="D7" s="1">
        <v>2</v>
      </c>
      <c r="E7" s="21"/>
      <c r="F7" s="64">
        <v>2</v>
      </c>
      <c r="G7" s="60">
        <v>2.2000000000000002</v>
      </c>
      <c r="H7" s="105" t="s">
        <v>200</v>
      </c>
      <c r="I7" s="106"/>
      <c r="J7" s="150">
        <f>EPD!E26</f>
        <v>162</v>
      </c>
      <c r="K7" s="21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5"/>
      <c r="AT7" s="185"/>
      <c r="AU7" s="185"/>
      <c r="AV7" s="185"/>
      <c r="AW7" s="185"/>
      <c r="AX7" s="185"/>
      <c r="AY7" s="185"/>
      <c r="AZ7" s="185"/>
      <c r="BA7" s="185"/>
      <c r="BB7" s="185"/>
      <c r="BC7" s="185"/>
      <c r="BD7" s="185"/>
      <c r="BE7" s="185"/>
      <c r="BF7" s="185"/>
      <c r="BG7" s="185"/>
      <c r="BH7" s="185"/>
      <c r="BI7" s="185"/>
      <c r="BJ7" s="185"/>
      <c r="BK7" s="185"/>
      <c r="BL7" s="185"/>
      <c r="BM7" s="185"/>
      <c r="BN7" s="185"/>
      <c r="BO7" s="185"/>
      <c r="BP7" s="185"/>
      <c r="BQ7" s="185"/>
      <c r="BR7" s="185"/>
      <c r="BS7" s="185"/>
      <c r="BT7" s="185"/>
      <c r="BU7" s="185"/>
    </row>
    <row r="8" spans="1:73" x14ac:dyDescent="0.25">
      <c r="A8" s="21"/>
      <c r="B8" s="21"/>
      <c r="C8" s="38"/>
      <c r="D8" s="1">
        <v>3</v>
      </c>
      <c r="E8" s="21"/>
      <c r="F8" s="64">
        <v>3</v>
      </c>
      <c r="G8" s="60">
        <v>2.2999999999999998</v>
      </c>
      <c r="H8" s="105" t="s">
        <v>201</v>
      </c>
      <c r="I8" s="106"/>
      <c r="J8" s="150">
        <f>EPD!E27</f>
        <v>161</v>
      </c>
      <c r="K8" s="21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  <c r="AP8" s="185"/>
      <c r="AQ8" s="185"/>
      <c r="AR8" s="185"/>
      <c r="AS8" s="185"/>
      <c r="AT8" s="185"/>
      <c r="AU8" s="185"/>
      <c r="AV8" s="185"/>
      <c r="AW8" s="185"/>
      <c r="AX8" s="185"/>
      <c r="AY8" s="185"/>
      <c r="AZ8" s="185"/>
      <c r="BA8" s="185"/>
      <c r="BB8" s="185"/>
      <c r="BC8" s="185"/>
      <c r="BD8" s="185"/>
      <c r="BE8" s="185"/>
      <c r="BF8" s="185"/>
      <c r="BG8" s="185"/>
      <c r="BH8" s="185"/>
      <c r="BI8" s="185"/>
      <c r="BJ8" s="185"/>
      <c r="BK8" s="185"/>
      <c r="BL8" s="185"/>
      <c r="BM8" s="185"/>
      <c r="BN8" s="185"/>
      <c r="BO8" s="185"/>
      <c r="BP8" s="185"/>
      <c r="BQ8" s="185"/>
      <c r="BR8" s="185"/>
      <c r="BS8" s="185"/>
      <c r="BT8" s="185"/>
      <c r="BU8" s="185"/>
    </row>
    <row r="9" spans="1:73" x14ac:dyDescent="0.25">
      <c r="A9" s="21"/>
      <c r="B9" s="21"/>
      <c r="C9" s="38"/>
      <c r="D9" s="1">
        <v>4</v>
      </c>
      <c r="E9" s="21"/>
      <c r="F9" s="64">
        <v>4</v>
      </c>
      <c r="G9" s="60">
        <v>2.4</v>
      </c>
      <c r="H9" s="105" t="s">
        <v>202</v>
      </c>
      <c r="I9" s="106"/>
      <c r="J9" s="150">
        <f>EPD!E28</f>
        <v>157</v>
      </c>
      <c r="K9" s="21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5"/>
      <c r="BB9" s="185"/>
      <c r="BC9" s="185"/>
      <c r="BD9" s="185"/>
      <c r="BE9" s="185"/>
      <c r="BF9" s="185"/>
      <c r="BG9" s="185"/>
      <c r="BH9" s="185"/>
      <c r="BI9" s="185"/>
      <c r="BJ9" s="185"/>
      <c r="BK9" s="185"/>
      <c r="BL9" s="185"/>
      <c r="BM9" s="185"/>
      <c r="BN9" s="185"/>
      <c r="BO9" s="185"/>
      <c r="BP9" s="185"/>
      <c r="BQ9" s="185"/>
      <c r="BR9" s="185"/>
      <c r="BS9" s="185"/>
      <c r="BT9" s="185"/>
      <c r="BU9" s="185"/>
    </row>
    <row r="10" spans="1:73" x14ac:dyDescent="0.25">
      <c r="A10" s="21"/>
      <c r="B10" s="21"/>
      <c r="C10" s="38"/>
      <c r="D10" s="1">
        <v>5</v>
      </c>
      <c r="E10" s="21"/>
      <c r="F10" s="64">
        <v>5</v>
      </c>
      <c r="G10" s="60">
        <v>2.5</v>
      </c>
      <c r="H10" s="105" t="s">
        <v>203</v>
      </c>
      <c r="I10" s="106"/>
      <c r="J10" s="150">
        <f>EPD!E29</f>
        <v>162</v>
      </c>
      <c r="K10" s="21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5"/>
      <c r="AO10" s="185"/>
      <c r="AP10" s="185"/>
      <c r="AQ10" s="185"/>
      <c r="AR10" s="185"/>
      <c r="AS10" s="185"/>
      <c r="AT10" s="185"/>
      <c r="AU10" s="185"/>
      <c r="AV10" s="185"/>
      <c r="AW10" s="185"/>
      <c r="AX10" s="185"/>
      <c r="AY10" s="185"/>
      <c r="AZ10" s="185"/>
      <c r="BA10" s="185"/>
      <c r="BB10" s="185"/>
      <c r="BC10" s="185"/>
      <c r="BD10" s="185"/>
      <c r="BE10" s="185"/>
      <c r="BF10" s="185"/>
      <c r="BG10" s="185"/>
      <c r="BH10" s="185"/>
      <c r="BI10" s="185"/>
      <c r="BJ10" s="185"/>
      <c r="BK10" s="185"/>
      <c r="BL10" s="185"/>
      <c r="BM10" s="185"/>
      <c r="BN10" s="185"/>
      <c r="BO10" s="185"/>
      <c r="BP10" s="185"/>
      <c r="BQ10" s="185"/>
      <c r="BR10" s="185"/>
      <c r="BS10" s="185"/>
      <c r="BT10" s="185"/>
      <c r="BU10" s="185"/>
    </row>
    <row r="11" spans="1:73" x14ac:dyDescent="0.25">
      <c r="A11" s="21"/>
      <c r="B11" s="21"/>
      <c r="C11" s="38"/>
      <c r="D11" s="1">
        <v>6</v>
      </c>
      <c r="E11" s="21"/>
      <c r="F11" s="64">
        <v>6</v>
      </c>
      <c r="G11" s="60">
        <v>2.6</v>
      </c>
      <c r="H11" s="105" t="s">
        <v>204</v>
      </c>
      <c r="I11" s="106"/>
      <c r="J11" s="150">
        <f>EPD!E30</f>
        <v>163</v>
      </c>
      <c r="K11" s="21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/>
      <c r="BS11" s="185"/>
      <c r="BT11" s="185"/>
      <c r="BU11" s="185"/>
    </row>
    <row r="12" spans="1:73" x14ac:dyDescent="0.25">
      <c r="A12" s="21"/>
      <c r="B12" s="21"/>
      <c r="C12" s="38"/>
      <c r="D12" s="1">
        <v>7</v>
      </c>
      <c r="E12" s="21"/>
      <c r="F12" s="64">
        <v>7</v>
      </c>
      <c r="G12" s="60">
        <v>2.7</v>
      </c>
      <c r="H12" s="105" t="s">
        <v>205</v>
      </c>
      <c r="I12" s="106"/>
      <c r="J12" s="150">
        <f>EPD!E31</f>
        <v>198</v>
      </c>
      <c r="K12" s="21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85"/>
      <c r="AT12" s="185"/>
      <c r="AU12" s="185"/>
      <c r="AV12" s="185"/>
      <c r="AW12" s="185"/>
      <c r="AX12" s="185"/>
      <c r="AY12" s="185"/>
      <c r="AZ12" s="185"/>
      <c r="BA12" s="185"/>
      <c r="BB12" s="185"/>
      <c r="BC12" s="185"/>
      <c r="BD12" s="185"/>
      <c r="BE12" s="185"/>
      <c r="BF12" s="185"/>
      <c r="BG12" s="185"/>
      <c r="BH12" s="185"/>
      <c r="BI12" s="185"/>
      <c r="BJ12" s="185"/>
      <c r="BK12" s="185"/>
      <c r="BL12" s="185"/>
      <c r="BM12" s="185"/>
      <c r="BN12" s="185"/>
      <c r="BO12" s="185"/>
      <c r="BP12" s="185"/>
      <c r="BQ12" s="185"/>
      <c r="BR12" s="185"/>
      <c r="BS12" s="185"/>
      <c r="BT12" s="185"/>
      <c r="BU12" s="185"/>
    </row>
    <row r="13" spans="1:73" x14ac:dyDescent="0.25">
      <c r="A13" s="21"/>
      <c r="B13" s="21"/>
      <c r="C13" s="38" t="s">
        <v>108</v>
      </c>
      <c r="D13" s="108">
        <v>2</v>
      </c>
      <c r="E13" s="21"/>
      <c r="F13" s="64"/>
      <c r="G13" s="58">
        <f>VLOOKUP(BlockShapeNum,$F14:$H15,2)</f>
        <v>3.2</v>
      </c>
      <c r="H13" s="58" t="str">
        <f>VLOOKUP(BlockShapeNum,$F14:$H15,3)</f>
        <v>Double Open End</v>
      </c>
      <c r="I13" s="21"/>
      <c r="J13" s="21"/>
      <c r="K13" s="21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5"/>
      <c r="BE13" s="185"/>
      <c r="BF13" s="185"/>
      <c r="BG13" s="185"/>
      <c r="BH13" s="185"/>
      <c r="BI13" s="185"/>
      <c r="BJ13" s="185"/>
      <c r="BK13" s="185"/>
      <c r="BL13" s="185"/>
      <c r="BM13" s="185"/>
      <c r="BN13" s="185"/>
      <c r="BO13" s="185"/>
      <c r="BP13" s="185"/>
      <c r="BQ13" s="185"/>
      <c r="BR13" s="185"/>
      <c r="BS13" s="185"/>
      <c r="BT13" s="185"/>
      <c r="BU13" s="185"/>
    </row>
    <row r="14" spans="1:73" x14ac:dyDescent="0.25">
      <c r="A14" s="21"/>
      <c r="B14" s="21"/>
      <c r="C14" s="38"/>
      <c r="D14" s="1">
        <v>1</v>
      </c>
      <c r="E14" s="21"/>
      <c r="F14" s="64">
        <v>1</v>
      </c>
      <c r="G14" s="61">
        <v>3.1</v>
      </c>
      <c r="H14" s="1" t="s">
        <v>106</v>
      </c>
      <c r="I14" s="33"/>
      <c r="J14" s="21"/>
      <c r="K14" s="21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85"/>
      <c r="AT14" s="185"/>
      <c r="AU14" s="185"/>
      <c r="AV14" s="185"/>
      <c r="AW14" s="185"/>
      <c r="AX14" s="185"/>
      <c r="AY14" s="185"/>
      <c r="AZ14" s="185"/>
      <c r="BA14" s="185"/>
      <c r="BB14" s="185"/>
      <c r="BC14" s="185"/>
      <c r="BD14" s="185"/>
      <c r="BE14" s="185"/>
      <c r="BF14" s="185"/>
      <c r="BG14" s="185"/>
      <c r="BH14" s="185"/>
      <c r="BI14" s="185"/>
      <c r="BJ14" s="185"/>
      <c r="BK14" s="185"/>
      <c r="BL14" s="185"/>
      <c r="BM14" s="185"/>
      <c r="BN14" s="185"/>
      <c r="BO14" s="185"/>
      <c r="BP14" s="185"/>
      <c r="BQ14" s="185"/>
      <c r="BR14" s="185"/>
      <c r="BS14" s="185"/>
      <c r="BT14" s="185"/>
      <c r="BU14" s="185"/>
    </row>
    <row r="15" spans="1:73" x14ac:dyDescent="0.25">
      <c r="A15" s="21"/>
      <c r="B15" s="21"/>
      <c r="C15" s="38"/>
      <c r="D15" s="1">
        <v>2</v>
      </c>
      <c r="E15" s="21"/>
      <c r="F15" s="64">
        <v>2</v>
      </c>
      <c r="G15" s="61">
        <v>3.2</v>
      </c>
      <c r="H15" s="1" t="s">
        <v>107</v>
      </c>
      <c r="I15" s="33"/>
      <c r="J15" s="21"/>
      <c r="K15" s="21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  <c r="AL15" s="185"/>
      <c r="AM15" s="185"/>
      <c r="AN15" s="185"/>
      <c r="AO15" s="185"/>
      <c r="AP15" s="185"/>
      <c r="AQ15" s="185"/>
      <c r="AR15" s="185"/>
      <c r="AS15" s="185"/>
      <c r="AT15" s="185"/>
      <c r="AU15" s="185"/>
      <c r="AV15" s="185"/>
      <c r="AW15" s="185"/>
      <c r="AX15" s="185"/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  <c r="BI15" s="185"/>
      <c r="BJ15" s="185"/>
      <c r="BK15" s="185"/>
      <c r="BL15" s="185"/>
      <c r="BM15" s="185"/>
      <c r="BN15" s="185"/>
      <c r="BO15" s="185"/>
      <c r="BP15" s="185"/>
      <c r="BQ15" s="185"/>
      <c r="BR15" s="185"/>
      <c r="BS15" s="185"/>
      <c r="BT15" s="185"/>
      <c r="BU15" s="185"/>
    </row>
    <row r="16" spans="1:73" x14ac:dyDescent="0.25">
      <c r="A16" s="21"/>
      <c r="B16" s="21"/>
      <c r="C16" s="38" t="s">
        <v>7</v>
      </c>
      <c r="D16" s="109">
        <v>1</v>
      </c>
      <c r="E16" s="21"/>
      <c r="F16" s="64"/>
      <c r="G16" s="58">
        <f>VLOOKUP(BlockSizeNum,$F17:$H19,2)</f>
        <v>4.0999999999999996</v>
      </c>
      <c r="H16" s="58" t="str">
        <f>VLOOKUP(BlockSizeNum,$F17:$H19,3)</f>
        <v>7 5/8 inches</v>
      </c>
      <c r="I16" s="33"/>
      <c r="J16" s="32" t="str">
        <f>VLOOKUP(BlockSizeNum,$F17:$J19,5)</f>
        <v>190 mm</v>
      </c>
      <c r="K16" s="21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</row>
    <row r="17" spans="1:73" x14ac:dyDescent="0.25">
      <c r="A17" s="21"/>
      <c r="B17" s="21"/>
      <c r="C17" s="38"/>
      <c r="D17" s="1">
        <v>1</v>
      </c>
      <c r="E17" s="21"/>
      <c r="F17" s="64">
        <v>1</v>
      </c>
      <c r="G17" s="62">
        <v>4.0999999999999996</v>
      </c>
      <c r="H17" s="1" t="s">
        <v>156</v>
      </c>
      <c r="I17" s="55"/>
      <c r="J17" s="150" t="s">
        <v>158</v>
      </c>
      <c r="K17" s="21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5"/>
      <c r="AN17" s="185"/>
      <c r="AO17" s="185"/>
      <c r="AP17" s="185"/>
      <c r="AQ17" s="185"/>
      <c r="AR17" s="185"/>
      <c r="AS17" s="185"/>
      <c r="AT17" s="185"/>
      <c r="AU17" s="185"/>
      <c r="AV17" s="185"/>
      <c r="AW17" s="185"/>
      <c r="AX17" s="185"/>
      <c r="AY17" s="185"/>
      <c r="AZ17" s="185"/>
      <c r="BA17" s="185"/>
      <c r="BB17" s="185"/>
      <c r="BC17" s="185"/>
      <c r="BD17" s="185"/>
      <c r="BE17" s="185"/>
      <c r="BF17" s="185"/>
      <c r="BG17" s="185"/>
      <c r="BH17" s="185"/>
      <c r="BI17" s="185"/>
      <c r="BJ17" s="185"/>
      <c r="BK17" s="185"/>
      <c r="BL17" s="185"/>
      <c r="BM17" s="185"/>
      <c r="BN17" s="185"/>
      <c r="BO17" s="185"/>
      <c r="BP17" s="185"/>
      <c r="BQ17" s="185"/>
      <c r="BR17" s="185"/>
      <c r="BS17" s="185"/>
      <c r="BT17" s="185"/>
      <c r="BU17" s="185"/>
    </row>
    <row r="18" spans="1:73" x14ac:dyDescent="0.25">
      <c r="A18" s="21"/>
      <c r="B18" s="21"/>
      <c r="C18" s="38"/>
      <c r="D18" s="1">
        <v>2</v>
      </c>
      <c r="E18" s="21"/>
      <c r="F18" s="64">
        <v>2</v>
      </c>
      <c r="G18" s="62">
        <v>4.2</v>
      </c>
      <c r="H18" s="1" t="s">
        <v>157</v>
      </c>
      <c r="I18" s="55"/>
      <c r="J18" s="150" t="s">
        <v>159</v>
      </c>
      <c r="K18" s="21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185"/>
      <c r="BL18" s="185"/>
      <c r="BM18" s="185"/>
      <c r="BN18" s="185"/>
      <c r="BO18" s="185"/>
      <c r="BP18" s="185"/>
      <c r="BQ18" s="185"/>
      <c r="BR18" s="185"/>
      <c r="BS18" s="185"/>
      <c r="BT18" s="185"/>
      <c r="BU18" s="185"/>
    </row>
    <row r="19" spans="1:73" x14ac:dyDescent="0.25">
      <c r="A19" s="21"/>
      <c r="B19" s="21"/>
      <c r="C19" s="38"/>
      <c r="D19" s="1">
        <v>3</v>
      </c>
      <c r="E19" s="21"/>
      <c r="F19" s="64">
        <v>3</v>
      </c>
      <c r="G19" s="62">
        <v>4.3</v>
      </c>
      <c r="H19" s="1" t="s">
        <v>161</v>
      </c>
      <c r="I19" s="55"/>
      <c r="J19" s="150" t="s">
        <v>160</v>
      </c>
      <c r="K19" s="21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185"/>
      <c r="BK19" s="185"/>
      <c r="BL19" s="185"/>
      <c r="BM19" s="185"/>
      <c r="BN19" s="185"/>
      <c r="BO19" s="185"/>
      <c r="BP19" s="185"/>
      <c r="BQ19" s="185"/>
      <c r="BR19" s="185"/>
      <c r="BS19" s="185"/>
      <c r="BT19" s="185"/>
      <c r="BU19" s="185"/>
    </row>
    <row r="20" spans="1:73" x14ac:dyDescent="0.25">
      <c r="A20" s="21"/>
      <c r="B20" s="21"/>
      <c r="C20" s="38" t="s">
        <v>109</v>
      </c>
      <c r="D20" s="110">
        <v>1</v>
      </c>
      <c r="E20" s="21"/>
      <c r="F20" s="57"/>
      <c r="G20" s="58">
        <f>VLOOKUP(ZoneNum,$F21:$H24,2)</f>
        <v>5.0999999999999996</v>
      </c>
      <c r="H20" s="58" t="str">
        <f>VLOOKUP(ZoneNum,$F21:$H24,3)</f>
        <v>100% Cement</v>
      </c>
      <c r="I20" s="55"/>
      <c r="J20" s="21"/>
      <c r="K20" s="21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185"/>
      <c r="BE20" s="185"/>
      <c r="BF20" s="185"/>
      <c r="BG20" s="185"/>
      <c r="BH20" s="185"/>
      <c r="BI20" s="185"/>
      <c r="BJ20" s="185"/>
      <c r="BK20" s="185"/>
      <c r="BL20" s="185"/>
      <c r="BM20" s="185"/>
      <c r="BN20" s="185"/>
      <c r="BO20" s="185"/>
      <c r="BP20" s="185"/>
      <c r="BQ20" s="185"/>
      <c r="BR20" s="185"/>
      <c r="BS20" s="185"/>
      <c r="BT20" s="185"/>
      <c r="BU20" s="185"/>
    </row>
    <row r="21" spans="1:73" x14ac:dyDescent="0.25">
      <c r="A21" s="21"/>
      <c r="B21" s="21"/>
      <c r="C21" s="52"/>
      <c r="D21" s="1">
        <v>1</v>
      </c>
      <c r="E21" s="21"/>
      <c r="F21" s="64">
        <v>1</v>
      </c>
      <c r="G21" s="63">
        <v>5.0999999999999996</v>
      </c>
      <c r="H21" s="1" t="s">
        <v>220</v>
      </c>
      <c r="I21" s="41"/>
      <c r="J21" s="31"/>
      <c r="K21" s="33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  <c r="BI21" s="185"/>
      <c r="BJ21" s="185"/>
      <c r="BK21" s="185"/>
      <c r="BL21" s="185"/>
      <c r="BM21" s="185"/>
      <c r="BN21" s="185"/>
      <c r="BO21" s="185"/>
      <c r="BP21" s="185"/>
      <c r="BQ21" s="185"/>
      <c r="BR21" s="185"/>
      <c r="BS21" s="185"/>
      <c r="BT21" s="185"/>
      <c r="BU21" s="185"/>
    </row>
    <row r="22" spans="1:73" x14ac:dyDescent="0.25">
      <c r="A22" s="21"/>
      <c r="B22" s="21"/>
      <c r="C22" s="52"/>
      <c r="D22" s="3">
        <v>2</v>
      </c>
      <c r="E22" s="21"/>
      <c r="F22" s="64">
        <v>2</v>
      </c>
      <c r="G22" s="63">
        <v>5.2</v>
      </c>
      <c r="H22" s="1" t="s">
        <v>223</v>
      </c>
      <c r="I22" s="41"/>
      <c r="J22" s="31"/>
      <c r="K22" s="33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  <c r="BJ22" s="185"/>
      <c r="BK22" s="185"/>
      <c r="BL22" s="185"/>
      <c r="BM22" s="185"/>
      <c r="BN22" s="185"/>
      <c r="BO22" s="185"/>
      <c r="BP22" s="185"/>
      <c r="BQ22" s="185"/>
      <c r="BR22" s="185"/>
      <c r="BS22" s="185"/>
      <c r="BT22" s="185"/>
      <c r="BU22" s="185"/>
    </row>
    <row r="23" spans="1:73" x14ac:dyDescent="0.25">
      <c r="A23" s="21"/>
      <c r="B23" s="21"/>
      <c r="C23" s="38"/>
      <c r="D23" s="1">
        <v>3</v>
      </c>
      <c r="E23" s="21"/>
      <c r="F23" s="64">
        <v>3</v>
      </c>
      <c r="G23" s="63">
        <v>5.3</v>
      </c>
      <c r="H23" s="1" t="s">
        <v>110</v>
      </c>
      <c r="I23" s="41"/>
      <c r="J23" s="31"/>
      <c r="K23" s="33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  <c r="AZ23" s="185"/>
      <c r="BA23" s="185"/>
      <c r="BB23" s="185"/>
      <c r="BC23" s="185"/>
      <c r="BD23" s="185"/>
      <c r="BE23" s="185"/>
      <c r="BF23" s="185"/>
      <c r="BG23" s="185"/>
      <c r="BH23" s="185"/>
      <c r="BI23" s="185"/>
      <c r="BJ23" s="185"/>
      <c r="BK23" s="185"/>
      <c r="BL23" s="185"/>
      <c r="BM23" s="185"/>
      <c r="BN23" s="185"/>
      <c r="BO23" s="185"/>
      <c r="BP23" s="185"/>
      <c r="BQ23" s="185"/>
      <c r="BR23" s="185"/>
      <c r="BS23" s="185"/>
      <c r="BT23" s="185"/>
      <c r="BU23" s="185"/>
    </row>
    <row r="24" spans="1:73" x14ac:dyDescent="0.25">
      <c r="A24" s="21"/>
      <c r="B24" s="21"/>
      <c r="C24" s="52"/>
      <c r="D24" s="3">
        <v>4</v>
      </c>
      <c r="E24" s="21"/>
      <c r="F24" s="64">
        <v>4</v>
      </c>
      <c r="G24" s="63">
        <v>5.4</v>
      </c>
      <c r="H24" s="1" t="s">
        <v>183</v>
      </c>
      <c r="I24" s="41"/>
      <c r="J24" s="31"/>
      <c r="K24" s="33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</row>
    <row r="25" spans="1:73" x14ac:dyDescent="0.25">
      <c r="A25" s="21"/>
      <c r="B25" s="21"/>
      <c r="C25" s="38" t="s">
        <v>116</v>
      </c>
      <c r="D25" s="144">
        <v>2</v>
      </c>
      <c r="E25" s="21"/>
      <c r="F25" s="64"/>
      <c r="G25" s="58">
        <f>VLOOKUP(VerticalRebarNumber,$F26:$H32,2)</f>
        <v>6.2</v>
      </c>
      <c r="H25" s="58" t="str">
        <f>VLOOKUP(VerticalRebarNumber,$F26:$H32,3)</f>
        <v>All</v>
      </c>
      <c r="I25" s="41"/>
      <c r="J25" s="32" t="str">
        <f>VLOOKUP(VerticalRebarNumber,$F26:$J32,5)</f>
        <v>All</v>
      </c>
      <c r="K25" s="33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5"/>
      <c r="BJ25" s="185"/>
      <c r="BK25" s="185"/>
      <c r="BL25" s="185"/>
      <c r="BM25" s="185"/>
      <c r="BN25" s="185"/>
      <c r="BO25" s="185"/>
      <c r="BP25" s="185"/>
      <c r="BQ25" s="185"/>
      <c r="BR25" s="185"/>
      <c r="BS25" s="185"/>
      <c r="BT25" s="185"/>
      <c r="BU25" s="185"/>
    </row>
    <row r="26" spans="1:73" x14ac:dyDescent="0.25">
      <c r="A26" s="21"/>
      <c r="B26" s="21"/>
      <c r="C26" s="38"/>
      <c r="D26" s="1">
        <v>1</v>
      </c>
      <c r="E26" s="21"/>
      <c r="F26" s="64">
        <v>1</v>
      </c>
      <c r="G26" s="145">
        <v>6.1</v>
      </c>
      <c r="H26" s="1" t="s">
        <v>141</v>
      </c>
      <c r="I26" s="41"/>
      <c r="J26" s="150" t="s">
        <v>141</v>
      </c>
      <c r="K26" s="33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  <c r="BA26" s="185"/>
      <c r="BB26" s="185"/>
      <c r="BC26" s="185"/>
      <c r="BD26" s="185"/>
      <c r="BE26" s="185"/>
      <c r="BF26" s="185"/>
      <c r="BG26" s="185"/>
      <c r="BH26" s="185"/>
      <c r="BI26" s="185"/>
      <c r="BJ26" s="185"/>
      <c r="BK26" s="185"/>
      <c r="BL26" s="185"/>
      <c r="BM26" s="185"/>
      <c r="BN26" s="185"/>
      <c r="BO26" s="185"/>
      <c r="BP26" s="185"/>
      <c r="BQ26" s="185"/>
      <c r="BR26" s="185"/>
      <c r="BS26" s="185"/>
      <c r="BT26" s="185"/>
      <c r="BU26" s="185"/>
    </row>
    <row r="27" spans="1:73" x14ac:dyDescent="0.25">
      <c r="A27" s="21"/>
      <c r="B27" s="21"/>
      <c r="C27" s="38"/>
      <c r="D27" s="3">
        <v>2</v>
      </c>
      <c r="E27" s="21"/>
      <c r="F27" s="64">
        <v>2</v>
      </c>
      <c r="G27" s="145">
        <v>6.2</v>
      </c>
      <c r="H27" s="1" t="s">
        <v>142</v>
      </c>
      <c r="I27" s="41"/>
      <c r="J27" s="150" t="s">
        <v>142</v>
      </c>
      <c r="K27" s="33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  <c r="AT27" s="185"/>
      <c r="AU27" s="185"/>
      <c r="AV27" s="185"/>
      <c r="AW27" s="185"/>
      <c r="AX27" s="185"/>
      <c r="AY27" s="185"/>
      <c r="AZ27" s="185"/>
      <c r="BA27" s="185"/>
      <c r="BB27" s="185"/>
      <c r="BC27" s="185"/>
      <c r="BD27" s="185"/>
      <c r="BE27" s="185"/>
      <c r="BF27" s="185"/>
      <c r="BG27" s="185"/>
      <c r="BH27" s="185"/>
      <c r="BI27" s="185"/>
      <c r="BJ27" s="185"/>
      <c r="BK27" s="185"/>
      <c r="BL27" s="185"/>
      <c r="BM27" s="185"/>
      <c r="BN27" s="185"/>
      <c r="BO27" s="185"/>
      <c r="BP27" s="185"/>
      <c r="BQ27" s="185"/>
      <c r="BR27" s="185"/>
      <c r="BS27" s="185"/>
      <c r="BT27" s="185"/>
      <c r="BU27" s="185"/>
    </row>
    <row r="28" spans="1:73" x14ac:dyDescent="0.25">
      <c r="A28" s="21"/>
      <c r="B28" s="21"/>
      <c r="C28" s="38"/>
      <c r="D28" s="1">
        <v>3</v>
      </c>
      <c r="E28" s="21"/>
      <c r="F28" s="64">
        <v>3</v>
      </c>
      <c r="G28" s="145">
        <v>6.3</v>
      </c>
      <c r="H28" s="1" t="s">
        <v>146</v>
      </c>
      <c r="I28" s="41"/>
      <c r="J28" s="150" t="s">
        <v>143</v>
      </c>
      <c r="K28" s="33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  <c r="AN28" s="185"/>
      <c r="AO28" s="185"/>
      <c r="AP28" s="185"/>
      <c r="AQ28" s="185"/>
      <c r="AR28" s="185"/>
      <c r="AS28" s="185"/>
      <c r="AT28" s="185"/>
      <c r="AU28" s="185"/>
      <c r="AV28" s="185"/>
      <c r="AW28" s="185"/>
      <c r="AX28" s="185"/>
      <c r="AY28" s="185"/>
      <c r="AZ28" s="185"/>
      <c r="BA28" s="185"/>
      <c r="BB28" s="185"/>
      <c r="BC28" s="185"/>
      <c r="BD28" s="185"/>
      <c r="BE28" s="185"/>
      <c r="BF28" s="185"/>
      <c r="BG28" s="185"/>
      <c r="BH28" s="185"/>
      <c r="BI28" s="185"/>
      <c r="BJ28" s="185"/>
      <c r="BK28" s="185"/>
      <c r="BL28" s="185"/>
      <c r="BM28" s="185"/>
      <c r="BN28" s="185"/>
      <c r="BO28" s="185"/>
      <c r="BP28" s="185"/>
      <c r="BQ28" s="185"/>
      <c r="BR28" s="185"/>
      <c r="BS28" s="185"/>
      <c r="BT28" s="185"/>
      <c r="BU28" s="185"/>
    </row>
    <row r="29" spans="1:73" x14ac:dyDescent="0.25">
      <c r="A29" s="21"/>
      <c r="B29" s="21"/>
      <c r="C29" s="38"/>
      <c r="D29" s="1">
        <v>4</v>
      </c>
      <c r="E29" s="21"/>
      <c r="F29" s="64">
        <v>4</v>
      </c>
      <c r="G29" s="145">
        <v>6.4</v>
      </c>
      <c r="H29" s="1" t="s">
        <v>147</v>
      </c>
      <c r="I29" s="41"/>
      <c r="J29" s="150" t="s">
        <v>144</v>
      </c>
      <c r="K29" s="33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18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5"/>
      <c r="BM29" s="185"/>
      <c r="BN29" s="185"/>
      <c r="BO29" s="185"/>
      <c r="BP29" s="185"/>
      <c r="BQ29" s="185"/>
      <c r="BR29" s="185"/>
      <c r="BS29" s="185"/>
      <c r="BT29" s="185"/>
      <c r="BU29" s="185"/>
    </row>
    <row r="30" spans="1:73" x14ac:dyDescent="0.25">
      <c r="A30" s="21"/>
      <c r="B30" s="21"/>
      <c r="C30" s="38"/>
      <c r="D30" s="1">
        <v>5</v>
      </c>
      <c r="E30" s="21"/>
      <c r="F30" s="64">
        <v>5</v>
      </c>
      <c r="G30" s="145">
        <v>6.5</v>
      </c>
      <c r="H30" s="1" t="s">
        <v>148</v>
      </c>
      <c r="I30" s="41"/>
      <c r="J30" s="150" t="s">
        <v>145</v>
      </c>
      <c r="K30" s="33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  <c r="AL30" s="185"/>
      <c r="AM30" s="185"/>
      <c r="AN30" s="185"/>
      <c r="AO30" s="185"/>
      <c r="AP30" s="185"/>
      <c r="AQ30" s="185"/>
      <c r="AR30" s="185"/>
      <c r="AS30" s="185"/>
      <c r="AT30" s="185"/>
      <c r="AU30" s="185"/>
      <c r="AV30" s="185"/>
      <c r="AW30" s="185"/>
      <c r="AX30" s="185"/>
      <c r="AY30" s="185"/>
      <c r="AZ30" s="185"/>
      <c r="BA30" s="185"/>
      <c r="BB30" s="185"/>
      <c r="BC30" s="185"/>
      <c r="BD30" s="185"/>
      <c r="BE30" s="185"/>
      <c r="BF30" s="185"/>
      <c r="BG30" s="185"/>
      <c r="BH30" s="185"/>
      <c r="BI30" s="185"/>
      <c r="BJ30" s="185"/>
      <c r="BK30" s="185"/>
      <c r="BL30" s="185"/>
      <c r="BM30" s="185"/>
      <c r="BN30" s="185"/>
      <c r="BO30" s="185"/>
      <c r="BP30" s="185"/>
      <c r="BQ30" s="185"/>
      <c r="BR30" s="185"/>
      <c r="BS30" s="185"/>
      <c r="BT30" s="185"/>
      <c r="BU30" s="185"/>
    </row>
    <row r="31" spans="1:73" x14ac:dyDescent="0.25">
      <c r="A31" s="21"/>
      <c r="B31" s="21"/>
      <c r="C31" s="38"/>
      <c r="D31" s="1">
        <v>6</v>
      </c>
      <c r="E31" s="21"/>
      <c r="F31" s="64">
        <v>6</v>
      </c>
      <c r="G31" s="145">
        <v>6.6</v>
      </c>
      <c r="H31" s="1" t="s">
        <v>149</v>
      </c>
      <c r="I31" s="41"/>
      <c r="J31" s="150" t="s">
        <v>151</v>
      </c>
      <c r="K31" s="33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85"/>
      <c r="AY31" s="185"/>
      <c r="AZ31" s="185"/>
      <c r="BA31" s="185"/>
      <c r="BB31" s="185"/>
      <c r="BC31" s="185"/>
      <c r="BD31" s="185"/>
      <c r="BE31" s="185"/>
      <c r="BF31" s="185"/>
      <c r="BG31" s="185"/>
      <c r="BH31" s="185"/>
      <c r="BI31" s="185"/>
      <c r="BJ31" s="185"/>
      <c r="BK31" s="185"/>
      <c r="BL31" s="185"/>
      <c r="BM31" s="185"/>
      <c r="BN31" s="185"/>
      <c r="BO31" s="185"/>
      <c r="BP31" s="185"/>
      <c r="BQ31" s="185"/>
      <c r="BR31" s="185"/>
      <c r="BS31" s="185"/>
      <c r="BT31" s="185"/>
      <c r="BU31" s="185"/>
    </row>
    <row r="32" spans="1:73" x14ac:dyDescent="0.25">
      <c r="A32" s="21"/>
      <c r="B32" s="21"/>
      <c r="C32" s="38"/>
      <c r="D32" s="1">
        <v>7</v>
      </c>
      <c r="E32" s="21"/>
      <c r="F32" s="64">
        <v>7</v>
      </c>
      <c r="G32" s="145">
        <v>6.7</v>
      </c>
      <c r="H32" s="1" t="s">
        <v>150</v>
      </c>
      <c r="I32" s="41"/>
      <c r="J32" s="150" t="s">
        <v>152</v>
      </c>
      <c r="K32" s="33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85"/>
      <c r="AT32" s="185"/>
      <c r="AU32" s="185"/>
      <c r="AV32" s="185"/>
      <c r="AW32" s="185"/>
      <c r="AX32" s="185"/>
      <c r="AY32" s="185"/>
      <c r="AZ32" s="185"/>
      <c r="BA32" s="185"/>
      <c r="BB32" s="185"/>
      <c r="BC32" s="185"/>
      <c r="BD32" s="185"/>
      <c r="BE32" s="185"/>
      <c r="BF32" s="185"/>
      <c r="BG32" s="185"/>
      <c r="BH32" s="185"/>
      <c r="BI32" s="185"/>
      <c r="BJ32" s="185"/>
      <c r="BK32" s="185"/>
      <c r="BL32" s="185"/>
      <c r="BM32" s="185"/>
      <c r="BN32" s="185"/>
      <c r="BO32" s="185"/>
      <c r="BP32" s="185"/>
      <c r="BQ32" s="185"/>
      <c r="BR32" s="185"/>
      <c r="BS32" s="185"/>
      <c r="BT32" s="185"/>
      <c r="BU32" s="185"/>
    </row>
    <row r="33" spans="1:73" x14ac:dyDescent="0.25">
      <c r="A33" s="21"/>
      <c r="B33" s="21"/>
      <c r="C33" s="38" t="s">
        <v>111</v>
      </c>
      <c r="D33" s="146">
        <v>2</v>
      </c>
      <c r="E33" s="21"/>
      <c r="F33" s="64"/>
      <c r="G33" s="58">
        <f>VLOOKUP(HorizontalRebarNumber,$F34:$H37,2)</f>
        <v>7.2</v>
      </c>
      <c r="H33" s="58" t="str">
        <f>VLOOKUP(HorizontalRebarNumber,$F34:$H37,3)</f>
        <v>24 inches O.C.</v>
      </c>
      <c r="I33" s="41"/>
      <c r="J33" s="32" t="str">
        <f>VLOOKUP(HorizontalRebarNumber,$F34:$J37,5)</f>
        <v>600 mm O.C.</v>
      </c>
      <c r="K33" s="33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  <c r="AZ33" s="185"/>
      <c r="BA33" s="185"/>
      <c r="BB33" s="185"/>
      <c r="BC33" s="185"/>
      <c r="BD33" s="185"/>
      <c r="BE33" s="185"/>
      <c r="BF33" s="185"/>
      <c r="BG33" s="185"/>
      <c r="BH33" s="185"/>
      <c r="BI33" s="185"/>
      <c r="BJ33" s="185"/>
      <c r="BK33" s="185"/>
      <c r="BL33" s="185"/>
      <c r="BM33" s="185"/>
      <c r="BN33" s="185"/>
      <c r="BO33" s="185"/>
      <c r="BP33" s="185"/>
      <c r="BQ33" s="185"/>
      <c r="BR33" s="185"/>
      <c r="BS33" s="185"/>
      <c r="BT33" s="185"/>
      <c r="BU33" s="185"/>
    </row>
    <row r="34" spans="1:73" x14ac:dyDescent="0.25">
      <c r="A34" s="21"/>
      <c r="B34" s="21"/>
      <c r="C34" s="38"/>
      <c r="D34" s="1">
        <v>1</v>
      </c>
      <c r="E34" s="21"/>
      <c r="F34" s="64">
        <v>1</v>
      </c>
      <c r="G34" s="147">
        <v>7.1</v>
      </c>
      <c r="H34" s="1" t="s">
        <v>141</v>
      </c>
      <c r="I34" s="41"/>
      <c r="J34" s="150" t="s">
        <v>141</v>
      </c>
      <c r="K34" s="33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5"/>
      <c r="AV34" s="185"/>
      <c r="AW34" s="185"/>
      <c r="AX34" s="185"/>
      <c r="AY34" s="185"/>
      <c r="AZ34" s="185"/>
      <c r="BA34" s="185"/>
      <c r="BB34" s="185"/>
      <c r="BC34" s="185"/>
      <c r="BD34" s="185"/>
      <c r="BE34" s="185"/>
      <c r="BF34" s="185"/>
      <c r="BG34" s="185"/>
      <c r="BH34" s="185"/>
      <c r="BI34" s="185"/>
      <c r="BJ34" s="185"/>
      <c r="BK34" s="185"/>
      <c r="BL34" s="185"/>
      <c r="BM34" s="185"/>
      <c r="BN34" s="185"/>
      <c r="BO34" s="185"/>
      <c r="BP34" s="185"/>
      <c r="BQ34" s="185"/>
      <c r="BR34" s="185"/>
      <c r="BS34" s="185"/>
      <c r="BT34" s="185"/>
      <c r="BU34" s="185"/>
    </row>
    <row r="35" spans="1:73" x14ac:dyDescent="0.25">
      <c r="A35" s="21"/>
      <c r="B35" s="21"/>
      <c r="C35" s="38"/>
      <c r="D35" s="1">
        <v>2</v>
      </c>
      <c r="E35" s="21"/>
      <c r="F35" s="64">
        <v>2</v>
      </c>
      <c r="G35" s="147">
        <v>7.2</v>
      </c>
      <c r="H35" s="1" t="s">
        <v>147</v>
      </c>
      <c r="I35" s="41"/>
      <c r="J35" s="150" t="s">
        <v>144</v>
      </c>
      <c r="K35" s="33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185"/>
      <c r="AN35" s="185"/>
      <c r="AO35" s="185"/>
      <c r="AP35" s="185"/>
      <c r="AQ35" s="185"/>
      <c r="AR35" s="185"/>
      <c r="AS35" s="185"/>
      <c r="AT35" s="185"/>
      <c r="AU35" s="185"/>
      <c r="AV35" s="185"/>
      <c r="AW35" s="185"/>
      <c r="AX35" s="185"/>
      <c r="AY35" s="185"/>
      <c r="AZ35" s="185"/>
      <c r="BA35" s="185"/>
      <c r="BB35" s="185"/>
      <c r="BC35" s="185"/>
      <c r="BD35" s="185"/>
      <c r="BE35" s="185"/>
      <c r="BF35" s="185"/>
      <c r="BG35" s="185"/>
      <c r="BH35" s="185"/>
      <c r="BI35" s="185"/>
      <c r="BJ35" s="185"/>
      <c r="BK35" s="185"/>
      <c r="BL35" s="185"/>
      <c r="BM35" s="185"/>
      <c r="BN35" s="185"/>
      <c r="BO35" s="185"/>
      <c r="BP35" s="185"/>
      <c r="BQ35" s="185"/>
      <c r="BR35" s="185"/>
      <c r="BS35" s="185"/>
      <c r="BT35" s="185"/>
      <c r="BU35" s="185"/>
    </row>
    <row r="36" spans="1:73" x14ac:dyDescent="0.25">
      <c r="A36" s="21"/>
      <c r="B36" s="21"/>
      <c r="C36" s="38"/>
      <c r="D36" s="3">
        <v>3</v>
      </c>
      <c r="E36" s="21"/>
      <c r="F36" s="64">
        <v>3</v>
      </c>
      <c r="G36" s="147">
        <v>7.3</v>
      </c>
      <c r="H36" s="1" t="s">
        <v>148</v>
      </c>
      <c r="I36" s="41"/>
      <c r="J36" s="150" t="s">
        <v>145</v>
      </c>
      <c r="K36" s="33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  <c r="AV36" s="185"/>
      <c r="AW36" s="185"/>
      <c r="AX36" s="185"/>
      <c r="AY36" s="185"/>
      <c r="AZ36" s="185"/>
      <c r="BA36" s="185"/>
      <c r="BB36" s="185"/>
      <c r="BC36" s="185"/>
      <c r="BD36" s="185"/>
      <c r="BE36" s="185"/>
      <c r="BF36" s="185"/>
      <c r="BG36" s="185"/>
      <c r="BH36" s="185"/>
      <c r="BI36" s="185"/>
      <c r="BJ36" s="185"/>
      <c r="BK36" s="185"/>
      <c r="BL36" s="185"/>
      <c r="BM36" s="185"/>
      <c r="BN36" s="185"/>
      <c r="BO36" s="185"/>
      <c r="BP36" s="185"/>
      <c r="BQ36" s="185"/>
      <c r="BR36" s="185"/>
      <c r="BS36" s="185"/>
      <c r="BT36" s="185"/>
      <c r="BU36" s="185"/>
    </row>
    <row r="37" spans="1:73" x14ac:dyDescent="0.25">
      <c r="A37" s="21"/>
      <c r="B37" s="21"/>
      <c r="C37" s="38"/>
      <c r="D37" s="3">
        <v>4</v>
      </c>
      <c r="E37" s="21"/>
      <c r="F37" s="64">
        <v>4</v>
      </c>
      <c r="G37" s="147">
        <v>7.4</v>
      </c>
      <c r="H37" s="1" t="s">
        <v>150</v>
      </c>
      <c r="I37" s="41"/>
      <c r="J37" s="150" t="s">
        <v>152</v>
      </c>
      <c r="K37" s="33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185"/>
      <c r="BS37" s="185"/>
      <c r="BT37" s="185"/>
      <c r="BU37" s="185"/>
    </row>
    <row r="38" spans="1:73" x14ac:dyDescent="0.25">
      <c r="A38" s="21"/>
      <c r="B38" s="21"/>
      <c r="C38" s="38" t="s">
        <v>165</v>
      </c>
      <c r="D38" s="245">
        <v>1</v>
      </c>
      <c r="E38" s="21"/>
      <c r="F38" s="64"/>
      <c r="G38" s="58">
        <f>VLOOKUP(MortarTypeNumber,$F39:$H40,2)</f>
        <v>8.1</v>
      </c>
      <c r="H38" s="58" t="str">
        <f>VLOOKUP(MortarTypeNumber,$F39:$H40,3)</f>
        <v>Type S</v>
      </c>
      <c r="I38" s="41"/>
      <c r="J38" s="41"/>
      <c r="K38" s="33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5"/>
      <c r="AN38" s="185"/>
      <c r="AO38" s="185"/>
      <c r="AP38" s="185"/>
      <c r="AQ38" s="185"/>
      <c r="AR38" s="185"/>
      <c r="AS38" s="185"/>
      <c r="AT38" s="185"/>
      <c r="AU38" s="185"/>
      <c r="AV38" s="185"/>
      <c r="AW38" s="185"/>
      <c r="AX38" s="185"/>
      <c r="AY38" s="185"/>
      <c r="AZ38" s="185"/>
      <c r="BA38" s="185"/>
      <c r="BB38" s="185"/>
      <c r="BC38" s="185"/>
      <c r="BD38" s="185"/>
      <c r="BE38" s="185"/>
      <c r="BF38" s="185"/>
      <c r="BG38" s="185"/>
      <c r="BH38" s="185"/>
      <c r="BI38" s="185"/>
      <c r="BJ38" s="185"/>
      <c r="BK38" s="185"/>
      <c r="BL38" s="185"/>
      <c r="BM38" s="185"/>
      <c r="BN38" s="185"/>
      <c r="BO38" s="185"/>
      <c r="BP38" s="185"/>
      <c r="BQ38" s="185"/>
      <c r="BR38" s="185"/>
      <c r="BS38" s="185"/>
      <c r="BT38" s="185"/>
      <c r="BU38" s="185"/>
    </row>
    <row r="39" spans="1:73" x14ac:dyDescent="0.25">
      <c r="A39" s="21"/>
      <c r="B39" s="21"/>
      <c r="C39" s="38"/>
      <c r="D39" s="1">
        <v>1</v>
      </c>
      <c r="E39" s="21"/>
      <c r="F39" s="64">
        <v>1</v>
      </c>
      <c r="G39" s="154">
        <v>8.1</v>
      </c>
      <c r="H39" s="1" t="s">
        <v>164</v>
      </c>
      <c r="I39" s="41"/>
      <c r="J39" s="41"/>
      <c r="K39" s="33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5"/>
      <c r="AO39" s="185"/>
      <c r="AP39" s="185"/>
      <c r="AQ39" s="185"/>
      <c r="AR39" s="185"/>
      <c r="AS39" s="185"/>
      <c r="AT39" s="185"/>
      <c r="AU39" s="185"/>
      <c r="AV39" s="185"/>
      <c r="AW39" s="185"/>
      <c r="AX39" s="185"/>
      <c r="AY39" s="185"/>
      <c r="AZ39" s="185"/>
      <c r="BA39" s="185"/>
      <c r="BB39" s="185"/>
      <c r="BC39" s="185"/>
      <c r="BD39" s="185"/>
      <c r="BE39" s="185"/>
      <c r="BF39" s="185"/>
      <c r="BG39" s="185"/>
      <c r="BH39" s="185"/>
      <c r="BI39" s="185"/>
      <c r="BJ39" s="185"/>
      <c r="BK39" s="185"/>
      <c r="BL39" s="185"/>
      <c r="BM39" s="185"/>
      <c r="BN39" s="185"/>
      <c r="BO39" s="185"/>
      <c r="BP39" s="185"/>
      <c r="BQ39" s="185"/>
      <c r="BR39" s="185"/>
      <c r="BS39" s="185"/>
      <c r="BT39" s="185"/>
      <c r="BU39" s="185"/>
    </row>
    <row r="40" spans="1:73" x14ac:dyDescent="0.25">
      <c r="A40" s="21"/>
      <c r="B40" s="21"/>
      <c r="C40" s="38"/>
      <c r="D40" s="1">
        <v>2</v>
      </c>
      <c r="E40" s="21"/>
      <c r="F40" s="64">
        <v>2</v>
      </c>
      <c r="G40" s="154">
        <v>8.1999999999999993</v>
      </c>
      <c r="H40" s="1" t="s">
        <v>166</v>
      </c>
      <c r="I40" s="41"/>
      <c r="J40" s="41"/>
      <c r="K40" s="33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5"/>
      <c r="BF40" s="185"/>
      <c r="BG40" s="185"/>
      <c r="BH40" s="185"/>
      <c r="BI40" s="185"/>
      <c r="BJ40" s="185"/>
      <c r="BK40" s="185"/>
      <c r="BL40" s="185"/>
      <c r="BM40" s="185"/>
      <c r="BN40" s="185"/>
      <c r="BO40" s="185"/>
      <c r="BP40" s="185"/>
      <c r="BQ40" s="185"/>
      <c r="BR40" s="185"/>
      <c r="BS40" s="185"/>
      <c r="BT40" s="185"/>
      <c r="BU40" s="185"/>
    </row>
    <row r="41" spans="1:73" x14ac:dyDescent="0.25">
      <c r="A41" s="21"/>
      <c r="B41" s="21"/>
      <c r="C41" s="252" t="s">
        <v>219</v>
      </c>
      <c r="D41" s="255">
        <v>2</v>
      </c>
      <c r="E41" s="25"/>
      <c r="F41" s="253"/>
      <c r="G41" s="242">
        <f>VLOOKUP(OPCTypeNumberGrout,$F42:$H43,2)</f>
        <v>9.1999999999999993</v>
      </c>
      <c r="H41" s="242" t="str">
        <f>VLOOKUP(OPCTypeNumberGrout,$F42:$H43,3)</f>
        <v>ASTM C150 Portland Cement Type I or II</v>
      </c>
      <c r="I41" s="67"/>
      <c r="J41" s="254">
        <f>VLOOKUP(OPCTypeNumberGrout,$F42:$J43,5)</f>
        <v>919</v>
      </c>
      <c r="K41" s="33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185"/>
      <c r="AN41" s="185"/>
      <c r="AO41" s="185"/>
      <c r="AP41" s="185"/>
      <c r="AQ41" s="185"/>
      <c r="AR41" s="185"/>
      <c r="AS41" s="185"/>
      <c r="AT41" s="185"/>
      <c r="AU41" s="185"/>
      <c r="AV41" s="185"/>
      <c r="AW41" s="185"/>
      <c r="AX41" s="185"/>
      <c r="AY41" s="185"/>
      <c r="AZ41" s="185"/>
      <c r="BA41" s="185"/>
      <c r="BB41" s="185"/>
      <c r="BC41" s="185"/>
      <c r="BD41" s="185"/>
      <c r="BE41" s="185"/>
      <c r="BF41" s="185"/>
      <c r="BG41" s="185"/>
      <c r="BH41" s="185"/>
      <c r="BI41" s="185"/>
      <c r="BJ41" s="185"/>
      <c r="BK41" s="185"/>
      <c r="BL41" s="185"/>
      <c r="BM41" s="185"/>
      <c r="BN41" s="185"/>
      <c r="BO41" s="185"/>
      <c r="BP41" s="185"/>
      <c r="BQ41" s="185"/>
      <c r="BR41" s="185"/>
      <c r="BS41" s="185"/>
      <c r="BT41" s="185"/>
      <c r="BU41" s="185"/>
    </row>
    <row r="42" spans="1:73" x14ac:dyDescent="0.25">
      <c r="A42" s="21"/>
      <c r="B42" s="21"/>
      <c r="C42" s="38"/>
      <c r="D42" s="1">
        <v>1</v>
      </c>
      <c r="E42" s="21"/>
      <c r="F42" s="64">
        <v>1</v>
      </c>
      <c r="G42" s="154">
        <v>9.1</v>
      </c>
      <c r="H42" s="1" t="s">
        <v>221</v>
      </c>
      <c r="I42" s="41"/>
      <c r="J42" s="150">
        <f>EPD!E7</f>
        <v>774</v>
      </c>
      <c r="K42" s="33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5"/>
      <c r="AT42" s="185"/>
      <c r="AU42" s="185"/>
      <c r="AV42" s="185"/>
      <c r="AW42" s="185"/>
      <c r="AX42" s="185"/>
      <c r="AY42" s="185"/>
      <c r="AZ42" s="185"/>
      <c r="BA42" s="185"/>
      <c r="BB42" s="185"/>
      <c r="BC42" s="185"/>
      <c r="BD42" s="185"/>
      <c r="BE42" s="185"/>
      <c r="BF42" s="185"/>
      <c r="BG42" s="185"/>
      <c r="BH42" s="185"/>
      <c r="BI42" s="185"/>
      <c r="BJ42" s="185"/>
      <c r="BK42" s="185"/>
      <c r="BL42" s="185"/>
      <c r="BM42" s="185"/>
      <c r="BN42" s="185"/>
      <c r="BO42" s="185"/>
      <c r="BP42" s="185"/>
      <c r="BQ42" s="185"/>
      <c r="BR42" s="185"/>
      <c r="BS42" s="185"/>
      <c r="BT42" s="185"/>
      <c r="BU42" s="185"/>
    </row>
    <row r="43" spans="1:73" x14ac:dyDescent="0.25">
      <c r="A43" s="21"/>
      <c r="B43" s="21"/>
      <c r="C43" s="38"/>
      <c r="D43" s="1">
        <v>2</v>
      </c>
      <c r="E43" s="21"/>
      <c r="F43" s="64">
        <v>2</v>
      </c>
      <c r="G43" s="154">
        <v>9.1999999999999993</v>
      </c>
      <c r="H43" s="1" t="s">
        <v>222</v>
      </c>
      <c r="I43" s="41"/>
      <c r="J43" s="150">
        <f>EPD!E5</f>
        <v>919</v>
      </c>
      <c r="K43" s="33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5"/>
      <c r="AO43" s="185"/>
      <c r="AP43" s="185"/>
      <c r="AQ43" s="185"/>
      <c r="AR43" s="185"/>
      <c r="AS43" s="185"/>
      <c r="AT43" s="185"/>
      <c r="AU43" s="185"/>
      <c r="AV43" s="185"/>
      <c r="AW43" s="185"/>
      <c r="AX43" s="185"/>
      <c r="AY43" s="185"/>
      <c r="AZ43" s="185"/>
      <c r="BA43" s="185"/>
      <c r="BB43" s="185"/>
      <c r="BC43" s="185"/>
      <c r="BD43" s="185"/>
      <c r="BE43" s="185"/>
      <c r="BF43" s="185"/>
      <c r="BG43" s="185"/>
      <c r="BH43" s="185"/>
      <c r="BI43" s="185"/>
      <c r="BJ43" s="185"/>
      <c r="BK43" s="185"/>
      <c r="BL43" s="185"/>
      <c r="BM43" s="185"/>
      <c r="BN43" s="185"/>
      <c r="BO43" s="185"/>
      <c r="BP43" s="185"/>
      <c r="BQ43" s="185"/>
      <c r="BR43" s="185"/>
      <c r="BS43" s="185"/>
      <c r="BT43" s="185"/>
      <c r="BU43" s="185"/>
    </row>
    <row r="44" spans="1:73" x14ac:dyDescent="0.2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185"/>
      <c r="AT44" s="185"/>
      <c r="AU44" s="185"/>
      <c r="AV44" s="185"/>
      <c r="AW44" s="185"/>
      <c r="AX44" s="185"/>
      <c r="AY44" s="185"/>
      <c r="AZ44" s="185"/>
      <c r="BA44" s="185"/>
      <c r="BB44" s="185"/>
      <c r="BC44" s="185"/>
      <c r="BD44" s="185"/>
      <c r="BE44" s="185"/>
      <c r="BF44" s="185"/>
      <c r="BG44" s="185"/>
      <c r="BH44" s="185"/>
      <c r="BI44" s="185"/>
      <c r="BJ44" s="185"/>
      <c r="BK44" s="185"/>
      <c r="BL44" s="185"/>
      <c r="BM44" s="185"/>
      <c r="BN44" s="185"/>
      <c r="BO44" s="185"/>
      <c r="BP44" s="185"/>
      <c r="BQ44" s="185"/>
      <c r="BR44" s="185"/>
      <c r="BS44" s="185"/>
      <c r="BT44" s="185"/>
      <c r="BU44" s="185"/>
    </row>
    <row r="45" spans="1:73" ht="8.25" customHeight="1" x14ac:dyDescent="0.25">
      <c r="A45" s="185"/>
      <c r="B45" s="185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  <c r="AZ45" s="185"/>
      <c r="BA45" s="185"/>
      <c r="BB45" s="185"/>
      <c r="BC45" s="185"/>
      <c r="BD45" s="185"/>
      <c r="BE45" s="185"/>
      <c r="BF45" s="185"/>
      <c r="BG45" s="185"/>
      <c r="BH45" s="185"/>
      <c r="BI45" s="185"/>
      <c r="BJ45" s="185"/>
      <c r="BK45" s="185"/>
      <c r="BL45" s="185"/>
      <c r="BM45" s="185"/>
      <c r="BN45" s="185"/>
      <c r="BO45" s="185"/>
      <c r="BP45" s="185"/>
      <c r="BQ45" s="185"/>
      <c r="BR45" s="185"/>
      <c r="BS45" s="185"/>
      <c r="BT45" s="185"/>
      <c r="BU45" s="185"/>
    </row>
    <row r="46" spans="1:73" x14ac:dyDescent="0.25">
      <c r="A46" s="185"/>
      <c r="B46" s="185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5"/>
      <c r="BE46" s="185"/>
      <c r="BF46" s="185"/>
      <c r="BG46" s="185"/>
      <c r="BH46" s="185"/>
      <c r="BI46" s="185"/>
      <c r="BJ46" s="185"/>
      <c r="BK46" s="185"/>
      <c r="BL46" s="185"/>
      <c r="BM46" s="185"/>
      <c r="BN46" s="185"/>
      <c r="BO46" s="185"/>
      <c r="BP46" s="185"/>
      <c r="BQ46" s="185"/>
      <c r="BR46" s="185"/>
      <c r="BS46" s="185"/>
      <c r="BT46" s="185"/>
      <c r="BU46" s="185"/>
    </row>
    <row r="47" spans="1:73" x14ac:dyDescent="0.25">
      <c r="A47" s="185"/>
      <c r="B47" s="185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5"/>
      <c r="BJ47" s="185"/>
      <c r="BK47" s="185"/>
      <c r="BL47" s="185"/>
      <c r="BM47" s="185"/>
      <c r="BN47" s="185"/>
      <c r="BO47" s="185"/>
      <c r="BP47" s="185"/>
      <c r="BQ47" s="185"/>
      <c r="BR47" s="185"/>
      <c r="BS47" s="185"/>
      <c r="BT47" s="185"/>
      <c r="BU47" s="185"/>
    </row>
    <row r="48" spans="1:73" x14ac:dyDescent="0.25">
      <c r="A48" s="185"/>
      <c r="B48" s="185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  <c r="BN48" s="185"/>
      <c r="BO48" s="185"/>
      <c r="BP48" s="185"/>
      <c r="BQ48" s="185"/>
      <c r="BR48" s="185"/>
      <c r="BS48" s="185"/>
      <c r="BT48" s="185"/>
      <c r="BU48" s="185"/>
    </row>
    <row r="49" spans="1:73" x14ac:dyDescent="0.25">
      <c r="A49" s="185"/>
      <c r="B49" s="185"/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  <c r="AY49" s="185"/>
      <c r="AZ49" s="185"/>
      <c r="BA49" s="185"/>
      <c r="BB49" s="185"/>
      <c r="BC49" s="185"/>
      <c r="BD49" s="185"/>
      <c r="BE49" s="185"/>
      <c r="BF49" s="185"/>
      <c r="BG49" s="185"/>
      <c r="BH49" s="185"/>
      <c r="BI49" s="185"/>
      <c r="BJ49" s="185"/>
      <c r="BK49" s="185"/>
      <c r="BL49" s="185"/>
      <c r="BM49" s="185"/>
      <c r="BN49" s="185"/>
      <c r="BO49" s="185"/>
      <c r="BP49" s="185"/>
      <c r="BQ49" s="185"/>
      <c r="BR49" s="185"/>
      <c r="BS49" s="185"/>
      <c r="BT49" s="185"/>
      <c r="BU49" s="185"/>
    </row>
    <row r="50" spans="1:73" x14ac:dyDescent="0.25">
      <c r="A50" s="185"/>
      <c r="B50" s="185"/>
      <c r="C50" s="185"/>
      <c r="D50" s="185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  <c r="AY50" s="185"/>
      <c r="AZ50" s="185"/>
      <c r="BA50" s="185"/>
      <c r="BB50" s="185"/>
      <c r="BC50" s="185"/>
      <c r="BD50" s="185"/>
      <c r="BE50" s="185"/>
      <c r="BF50" s="185"/>
      <c r="BG50" s="185"/>
      <c r="BH50" s="185"/>
      <c r="BI50" s="185"/>
      <c r="BJ50" s="185"/>
      <c r="BK50" s="185"/>
      <c r="BL50" s="185"/>
      <c r="BM50" s="185"/>
      <c r="BN50" s="185"/>
      <c r="BO50" s="185"/>
      <c r="BP50" s="185"/>
      <c r="BQ50" s="185"/>
      <c r="BR50" s="185"/>
      <c r="BS50" s="185"/>
      <c r="BT50" s="185"/>
      <c r="BU50" s="185"/>
    </row>
    <row r="51" spans="1:73" x14ac:dyDescent="0.25">
      <c r="A51" s="185"/>
      <c r="B51" s="185"/>
      <c r="C51" s="185"/>
      <c r="D51" s="185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  <c r="AL51" s="185"/>
      <c r="AM51" s="185"/>
      <c r="AN51" s="185"/>
      <c r="AO51" s="185"/>
      <c r="AP51" s="185"/>
      <c r="AQ51" s="185"/>
      <c r="AR51" s="185"/>
      <c r="AS51" s="185"/>
      <c r="AT51" s="185"/>
      <c r="AU51" s="185"/>
      <c r="AV51" s="185"/>
      <c r="AW51" s="185"/>
      <c r="AX51" s="185"/>
      <c r="AY51" s="185"/>
      <c r="AZ51" s="185"/>
      <c r="BA51" s="185"/>
      <c r="BB51" s="185"/>
      <c r="BC51" s="185"/>
      <c r="BD51" s="185"/>
      <c r="BE51" s="185"/>
      <c r="BF51" s="185"/>
      <c r="BG51" s="185"/>
      <c r="BH51" s="185"/>
      <c r="BI51" s="185"/>
      <c r="BJ51" s="185"/>
      <c r="BK51" s="185"/>
      <c r="BL51" s="185"/>
      <c r="BM51" s="185"/>
      <c r="BN51" s="185"/>
      <c r="BO51" s="185"/>
      <c r="BP51" s="185"/>
      <c r="BQ51" s="185"/>
      <c r="BR51" s="185"/>
      <c r="BS51" s="185"/>
      <c r="BT51" s="185"/>
      <c r="BU51" s="185"/>
    </row>
    <row r="52" spans="1:73" x14ac:dyDescent="0.25">
      <c r="A52" s="185"/>
      <c r="B52" s="185"/>
      <c r="C52" s="185"/>
      <c r="D52" s="185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  <c r="AL52" s="185"/>
      <c r="AM52" s="185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5"/>
      <c r="BH52" s="185"/>
      <c r="BI52" s="185"/>
      <c r="BJ52" s="185"/>
      <c r="BK52" s="185"/>
      <c r="BL52" s="185"/>
      <c r="BM52" s="185"/>
      <c r="BN52" s="185"/>
      <c r="BO52" s="185"/>
      <c r="BP52" s="185"/>
      <c r="BQ52" s="185"/>
      <c r="BR52" s="185"/>
      <c r="BS52" s="185"/>
      <c r="BT52" s="185"/>
      <c r="BU52" s="185"/>
    </row>
    <row r="53" spans="1:73" x14ac:dyDescent="0.25">
      <c r="A53" s="185"/>
      <c r="B53" s="185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  <c r="BA53" s="185"/>
      <c r="BB53" s="185"/>
      <c r="BC53" s="185"/>
      <c r="BD53" s="185"/>
      <c r="BE53" s="185"/>
      <c r="BF53" s="185"/>
      <c r="BG53" s="185"/>
      <c r="BH53" s="185"/>
      <c r="BI53" s="185"/>
      <c r="BJ53" s="185"/>
      <c r="BK53" s="185"/>
      <c r="BL53" s="185"/>
      <c r="BM53" s="185"/>
      <c r="BN53" s="185"/>
      <c r="BO53" s="185"/>
      <c r="BP53" s="185"/>
      <c r="BQ53" s="185"/>
      <c r="BR53" s="185"/>
      <c r="BS53" s="185"/>
      <c r="BT53" s="185"/>
      <c r="BU53" s="185"/>
    </row>
    <row r="54" spans="1:73" x14ac:dyDescent="0.25">
      <c r="A54" s="185"/>
      <c r="B54" s="185"/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  <c r="AX54" s="185"/>
      <c r="AY54" s="185"/>
      <c r="AZ54" s="185"/>
      <c r="BA54" s="185"/>
      <c r="BB54" s="185"/>
      <c r="BC54" s="185"/>
      <c r="BD54" s="185"/>
      <c r="BE54" s="185"/>
      <c r="BF54" s="185"/>
      <c r="BG54" s="185"/>
      <c r="BH54" s="185"/>
      <c r="BI54" s="185"/>
      <c r="BJ54" s="185"/>
      <c r="BK54" s="185"/>
      <c r="BL54" s="185"/>
      <c r="BM54" s="185"/>
      <c r="BN54" s="185"/>
      <c r="BO54" s="185"/>
      <c r="BP54" s="185"/>
      <c r="BQ54" s="185"/>
      <c r="BR54" s="185"/>
      <c r="BS54" s="185"/>
      <c r="BT54" s="185"/>
      <c r="BU54" s="185"/>
    </row>
    <row r="55" spans="1:73" x14ac:dyDescent="0.25">
      <c r="A55" s="185"/>
      <c r="B55" s="185"/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85"/>
      <c r="BI55" s="185"/>
      <c r="BJ55" s="185"/>
      <c r="BK55" s="185"/>
      <c r="BL55" s="185"/>
      <c r="BM55" s="185"/>
      <c r="BN55" s="185"/>
      <c r="BO55" s="185"/>
      <c r="BP55" s="185"/>
      <c r="BQ55" s="185"/>
      <c r="BR55" s="185"/>
      <c r="BS55" s="185"/>
      <c r="BT55" s="185"/>
      <c r="BU55" s="185"/>
    </row>
    <row r="56" spans="1:73" x14ac:dyDescent="0.25">
      <c r="A56" s="185"/>
      <c r="B56" s="185"/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85"/>
      <c r="AK56" s="185"/>
      <c r="AL56" s="185"/>
      <c r="AM56" s="185"/>
      <c r="AN56" s="185"/>
      <c r="AO56" s="185"/>
      <c r="AP56" s="185"/>
      <c r="AQ56" s="185"/>
      <c r="AR56" s="185"/>
      <c r="AS56" s="185"/>
      <c r="AT56" s="185"/>
      <c r="AU56" s="185"/>
      <c r="AV56" s="185"/>
      <c r="AW56" s="185"/>
      <c r="AX56" s="185"/>
      <c r="AY56" s="185"/>
      <c r="AZ56" s="185"/>
      <c r="BA56" s="185"/>
      <c r="BB56" s="185"/>
      <c r="BC56" s="185"/>
      <c r="BD56" s="185"/>
      <c r="BE56" s="185"/>
      <c r="BF56" s="185"/>
      <c r="BG56" s="185"/>
      <c r="BH56" s="185"/>
      <c r="BI56" s="185"/>
      <c r="BJ56" s="185"/>
      <c r="BK56" s="185"/>
      <c r="BL56" s="185"/>
      <c r="BM56" s="185"/>
      <c r="BN56" s="185"/>
      <c r="BO56" s="185"/>
      <c r="BP56" s="185"/>
      <c r="BQ56" s="185"/>
      <c r="BR56" s="185"/>
      <c r="BS56" s="185"/>
      <c r="BT56" s="185"/>
      <c r="BU56" s="185"/>
    </row>
    <row r="57" spans="1:73" x14ac:dyDescent="0.25">
      <c r="A57" s="185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  <c r="AK57" s="185"/>
      <c r="AL57" s="185"/>
      <c r="AM57" s="185"/>
      <c r="AN57" s="185"/>
      <c r="AO57" s="185"/>
      <c r="AP57" s="185"/>
      <c r="AQ57" s="185"/>
      <c r="AR57" s="185"/>
      <c r="AS57" s="185"/>
      <c r="AT57" s="185"/>
      <c r="AU57" s="185"/>
      <c r="AV57" s="185"/>
      <c r="AW57" s="185"/>
      <c r="AX57" s="185"/>
      <c r="AY57" s="185"/>
      <c r="AZ57" s="185"/>
      <c r="BA57" s="185"/>
      <c r="BB57" s="185"/>
      <c r="BC57" s="185"/>
      <c r="BD57" s="185"/>
      <c r="BE57" s="185"/>
      <c r="BF57" s="185"/>
      <c r="BG57" s="185"/>
      <c r="BH57" s="185"/>
      <c r="BI57" s="185"/>
      <c r="BJ57" s="185"/>
      <c r="BK57" s="185"/>
      <c r="BL57" s="185"/>
      <c r="BM57" s="185"/>
      <c r="BN57" s="185"/>
      <c r="BO57" s="185"/>
      <c r="BP57" s="185"/>
      <c r="BQ57" s="185"/>
      <c r="BR57" s="185"/>
      <c r="BS57" s="185"/>
      <c r="BT57" s="185"/>
      <c r="BU57" s="185"/>
    </row>
    <row r="58" spans="1:73" x14ac:dyDescent="0.25">
      <c r="A58" s="185"/>
      <c r="B58" s="185"/>
      <c r="C58" s="185"/>
      <c r="D58" s="185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  <c r="AK58" s="185"/>
      <c r="AL58" s="185"/>
      <c r="AM58" s="185"/>
      <c r="AN58" s="185"/>
      <c r="AO58" s="185"/>
      <c r="AP58" s="185"/>
      <c r="AQ58" s="185"/>
      <c r="AR58" s="185"/>
      <c r="AS58" s="185"/>
      <c r="AT58" s="185"/>
      <c r="AU58" s="185"/>
      <c r="AV58" s="185"/>
      <c r="AW58" s="185"/>
      <c r="AX58" s="185"/>
      <c r="AY58" s="185"/>
      <c r="AZ58" s="185"/>
      <c r="BA58" s="185"/>
      <c r="BB58" s="185"/>
      <c r="BC58" s="185"/>
      <c r="BD58" s="185"/>
      <c r="BE58" s="185"/>
      <c r="BF58" s="185"/>
      <c r="BG58" s="185"/>
      <c r="BH58" s="185"/>
      <c r="BI58" s="185"/>
      <c r="BJ58" s="185"/>
      <c r="BK58" s="185"/>
      <c r="BL58" s="185"/>
      <c r="BM58" s="185"/>
      <c r="BN58" s="185"/>
      <c r="BO58" s="185"/>
      <c r="BP58" s="185"/>
      <c r="BQ58" s="185"/>
      <c r="BR58" s="185"/>
      <c r="BS58" s="185"/>
      <c r="BT58" s="185"/>
      <c r="BU58" s="185"/>
    </row>
    <row r="59" spans="1:73" x14ac:dyDescent="0.25">
      <c r="A59" s="185"/>
      <c r="B59" s="185"/>
      <c r="C59" s="185"/>
      <c r="D59" s="185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</row>
    <row r="60" spans="1:73" x14ac:dyDescent="0.25">
      <c r="A60" s="185"/>
      <c r="B60" s="185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  <c r="AS60" s="185"/>
      <c r="AT60" s="185"/>
      <c r="AU60" s="185"/>
      <c r="AV60" s="185"/>
      <c r="AW60" s="185"/>
      <c r="AX60" s="185"/>
      <c r="AY60" s="185"/>
      <c r="AZ60" s="185"/>
      <c r="BA60" s="185"/>
      <c r="BB60" s="185"/>
      <c r="BC60" s="185"/>
      <c r="BD60" s="185"/>
      <c r="BE60" s="185"/>
      <c r="BF60" s="185"/>
      <c r="BG60" s="185"/>
      <c r="BH60" s="185"/>
      <c r="BI60" s="185"/>
      <c r="BJ60" s="185"/>
      <c r="BK60" s="185"/>
      <c r="BL60" s="185"/>
      <c r="BM60" s="185"/>
      <c r="BN60" s="185"/>
      <c r="BO60" s="185"/>
      <c r="BP60" s="185"/>
      <c r="BQ60" s="185"/>
      <c r="BR60" s="185"/>
      <c r="BS60" s="185"/>
      <c r="BT60" s="185"/>
      <c r="BU60" s="185"/>
    </row>
    <row r="61" spans="1:73" x14ac:dyDescent="0.25">
      <c r="A61" s="185"/>
      <c r="B61" s="185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/>
      <c r="BC61" s="185"/>
      <c r="BD61" s="185"/>
      <c r="BE61" s="185"/>
      <c r="BF61" s="185"/>
      <c r="BG61" s="185"/>
      <c r="BH61" s="185"/>
      <c r="BI61" s="185"/>
      <c r="BJ61" s="185"/>
      <c r="BK61" s="185"/>
      <c r="BL61" s="185"/>
      <c r="BM61" s="185"/>
      <c r="BN61" s="185"/>
      <c r="BO61" s="185"/>
      <c r="BP61" s="185"/>
      <c r="BQ61" s="185"/>
      <c r="BR61" s="185"/>
      <c r="BS61" s="185"/>
      <c r="BT61" s="185"/>
      <c r="BU61" s="185"/>
    </row>
    <row r="62" spans="1:73" x14ac:dyDescent="0.25">
      <c r="A62" s="185"/>
      <c r="B62" s="185"/>
      <c r="C62" s="185"/>
      <c r="D62" s="185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  <c r="AS62" s="185"/>
      <c r="AT62" s="185"/>
      <c r="AU62" s="185"/>
      <c r="AV62" s="185"/>
      <c r="AW62" s="185"/>
      <c r="AX62" s="185"/>
      <c r="AY62" s="185"/>
      <c r="AZ62" s="185"/>
      <c r="BA62" s="185"/>
      <c r="BB62" s="185"/>
      <c r="BC62" s="185"/>
      <c r="BD62" s="185"/>
      <c r="BE62" s="185"/>
      <c r="BF62" s="185"/>
      <c r="BG62" s="185"/>
      <c r="BH62" s="185"/>
      <c r="BI62" s="185"/>
      <c r="BJ62" s="185"/>
      <c r="BK62" s="185"/>
      <c r="BL62" s="185"/>
      <c r="BM62" s="185"/>
      <c r="BN62" s="185"/>
      <c r="BO62" s="185"/>
      <c r="BP62" s="185"/>
      <c r="BQ62" s="185"/>
      <c r="BR62" s="185"/>
      <c r="BS62" s="185"/>
      <c r="BT62" s="185"/>
      <c r="BU62" s="185"/>
    </row>
    <row r="63" spans="1:73" x14ac:dyDescent="0.25">
      <c r="A63" s="185"/>
      <c r="B63" s="185"/>
      <c r="C63" s="185"/>
      <c r="D63" s="185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</row>
    <row r="64" spans="1:73" x14ac:dyDescent="0.25">
      <c r="A64" s="185"/>
      <c r="B64" s="185"/>
      <c r="C64" s="185"/>
      <c r="D64" s="185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E64" s="185"/>
      <c r="BF64" s="185"/>
      <c r="BG64" s="185"/>
      <c r="BH64" s="185"/>
      <c r="BI64" s="185"/>
      <c r="BJ64" s="185"/>
      <c r="BK64" s="185"/>
      <c r="BL64" s="185"/>
      <c r="BM64" s="185"/>
      <c r="BN64" s="185"/>
      <c r="BO64" s="185"/>
      <c r="BP64" s="185"/>
      <c r="BQ64" s="185"/>
      <c r="BR64" s="185"/>
      <c r="BS64" s="185"/>
      <c r="BT64" s="185"/>
      <c r="BU64" s="185"/>
    </row>
    <row r="65" spans="1:73" x14ac:dyDescent="0.25">
      <c r="A65" s="185"/>
      <c r="B65" s="185"/>
      <c r="C65" s="185"/>
      <c r="D65" s="185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</row>
    <row r="66" spans="1:73" x14ac:dyDescent="0.25">
      <c r="A66" s="185"/>
      <c r="B66" s="185"/>
      <c r="C66" s="185"/>
      <c r="D66" s="185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/>
      <c r="BB66" s="185"/>
      <c r="BC66" s="185"/>
      <c r="BD66" s="185"/>
      <c r="BE66" s="185"/>
      <c r="BF66" s="185"/>
      <c r="BG66" s="185"/>
      <c r="BH66" s="185"/>
      <c r="BI66" s="185"/>
      <c r="BJ66" s="185"/>
      <c r="BK66" s="185"/>
      <c r="BL66" s="185"/>
      <c r="BM66" s="185"/>
      <c r="BN66" s="185"/>
      <c r="BO66" s="185"/>
      <c r="BP66" s="185"/>
      <c r="BQ66" s="185"/>
      <c r="BR66" s="185"/>
      <c r="BS66" s="185"/>
      <c r="BT66" s="185"/>
      <c r="BU66" s="185"/>
    </row>
    <row r="67" spans="1:73" x14ac:dyDescent="0.25">
      <c r="A67" s="185"/>
      <c r="B67" s="185"/>
      <c r="C67" s="185"/>
      <c r="D67" s="185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5"/>
      <c r="AF67" s="185"/>
      <c r="AG67" s="185"/>
      <c r="AH67" s="185"/>
      <c r="AI67" s="185"/>
      <c r="AJ67" s="185"/>
      <c r="AK67" s="185"/>
      <c r="AL67" s="185"/>
      <c r="AM67" s="185"/>
      <c r="AN67" s="185"/>
      <c r="AO67" s="185"/>
      <c r="AP67" s="185"/>
      <c r="AQ67" s="185"/>
      <c r="AR67" s="185"/>
      <c r="AS67" s="185"/>
      <c r="AT67" s="185"/>
      <c r="AU67" s="185"/>
      <c r="AV67" s="185"/>
      <c r="AW67" s="185"/>
      <c r="AX67" s="185"/>
      <c r="AY67" s="185"/>
      <c r="AZ67" s="185"/>
      <c r="BA67" s="185"/>
      <c r="BB67" s="185"/>
      <c r="BC67" s="185"/>
      <c r="BD67" s="185"/>
      <c r="BE67" s="185"/>
      <c r="BF67" s="185"/>
      <c r="BG67" s="185"/>
      <c r="BH67" s="185"/>
      <c r="BI67" s="185"/>
      <c r="BJ67" s="185"/>
      <c r="BK67" s="185"/>
      <c r="BL67" s="185"/>
      <c r="BM67" s="185"/>
      <c r="BN67" s="185"/>
      <c r="BO67" s="185"/>
      <c r="BP67" s="185"/>
      <c r="BQ67" s="185"/>
      <c r="BR67" s="185"/>
      <c r="BS67" s="185"/>
      <c r="BT67" s="185"/>
      <c r="BU67" s="185"/>
    </row>
    <row r="68" spans="1:73" x14ac:dyDescent="0.25">
      <c r="A68" s="185"/>
      <c r="B68" s="185"/>
      <c r="C68" s="185"/>
      <c r="D68" s="185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185"/>
      <c r="BN68" s="185"/>
      <c r="BO68" s="185"/>
      <c r="BP68" s="185"/>
      <c r="BQ68" s="185"/>
      <c r="BR68" s="185"/>
      <c r="BS68" s="185"/>
      <c r="BT68" s="185"/>
      <c r="BU68" s="185"/>
    </row>
    <row r="69" spans="1:73" x14ac:dyDescent="0.25">
      <c r="A69" s="185"/>
      <c r="B69" s="185"/>
      <c r="C69" s="185"/>
      <c r="D69" s="185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5"/>
      <c r="W69" s="185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5"/>
      <c r="AP69" s="185"/>
      <c r="AQ69" s="185"/>
      <c r="AR69" s="185"/>
      <c r="AS69" s="185"/>
      <c r="AT69" s="185"/>
      <c r="AU69" s="185"/>
      <c r="AV69" s="185"/>
      <c r="AW69" s="185"/>
      <c r="AX69" s="185"/>
      <c r="AY69" s="185"/>
      <c r="AZ69" s="185"/>
      <c r="BA69" s="185"/>
      <c r="BB69" s="185"/>
      <c r="BC69" s="185"/>
      <c r="BD69" s="185"/>
      <c r="BE69" s="185"/>
      <c r="BF69" s="185"/>
      <c r="BG69" s="185"/>
      <c r="BH69" s="185"/>
      <c r="BI69" s="185"/>
      <c r="BJ69" s="185"/>
      <c r="BK69" s="185"/>
      <c r="BL69" s="185"/>
      <c r="BM69" s="185"/>
      <c r="BN69" s="185"/>
      <c r="BO69" s="185"/>
      <c r="BP69" s="185"/>
      <c r="BQ69" s="185"/>
      <c r="BR69" s="185"/>
      <c r="BS69" s="185"/>
      <c r="BT69" s="185"/>
      <c r="BU69" s="185"/>
    </row>
    <row r="70" spans="1:73" x14ac:dyDescent="0.25">
      <c r="A70" s="185"/>
      <c r="B70" s="185"/>
      <c r="C70" s="185"/>
      <c r="D70" s="185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</row>
    <row r="71" spans="1:73" x14ac:dyDescent="0.25">
      <c r="A71" s="185"/>
      <c r="B71" s="185"/>
      <c r="C71" s="185"/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  <c r="AL71" s="185"/>
      <c r="AM71" s="185"/>
      <c r="AN71" s="185"/>
      <c r="AO71" s="185"/>
      <c r="AP71" s="185"/>
      <c r="AQ71" s="185"/>
      <c r="AR71" s="185"/>
      <c r="AS71" s="185"/>
      <c r="AT71" s="185"/>
      <c r="AU71" s="185"/>
      <c r="AV71" s="185"/>
      <c r="AW71" s="185"/>
      <c r="AX71" s="185"/>
      <c r="AY71" s="185"/>
      <c r="AZ71" s="185"/>
      <c r="BA71" s="185"/>
      <c r="BB71" s="185"/>
      <c r="BC71" s="185"/>
      <c r="BD71" s="185"/>
      <c r="BE71" s="185"/>
      <c r="BF71" s="185"/>
      <c r="BG71" s="185"/>
      <c r="BH71" s="185"/>
      <c r="BI71" s="185"/>
      <c r="BJ71" s="185"/>
      <c r="BK71" s="185"/>
      <c r="BL71" s="185"/>
      <c r="BM71" s="185"/>
      <c r="BN71" s="185"/>
      <c r="BO71" s="185"/>
      <c r="BP71" s="185"/>
      <c r="BQ71" s="185"/>
      <c r="BR71" s="185"/>
      <c r="BS71" s="185"/>
      <c r="BT71" s="185"/>
      <c r="BU71" s="185"/>
    </row>
    <row r="72" spans="1:73" x14ac:dyDescent="0.25">
      <c r="A72" s="185"/>
      <c r="B72" s="185"/>
      <c r="C72" s="185"/>
      <c r="D72" s="185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  <c r="W72" s="185"/>
      <c r="X72" s="185"/>
      <c r="Y72" s="185"/>
      <c r="Z72" s="185"/>
      <c r="AA72" s="185"/>
      <c r="AB72" s="185"/>
      <c r="AC72" s="185"/>
      <c r="AD72" s="185"/>
      <c r="AE72" s="185"/>
      <c r="AF72" s="185"/>
      <c r="AG72" s="185"/>
      <c r="AH72" s="185"/>
      <c r="AI72" s="185"/>
      <c r="AJ72" s="185"/>
      <c r="AK72" s="185"/>
      <c r="AL72" s="185"/>
      <c r="AM72" s="185"/>
      <c r="AN72" s="185"/>
      <c r="AO72" s="185"/>
      <c r="AP72" s="185"/>
      <c r="AQ72" s="185"/>
      <c r="AR72" s="185"/>
      <c r="AS72" s="185"/>
      <c r="AT72" s="185"/>
      <c r="AU72" s="185"/>
      <c r="AV72" s="185"/>
      <c r="AW72" s="185"/>
      <c r="AX72" s="185"/>
      <c r="AY72" s="185"/>
      <c r="AZ72" s="185"/>
      <c r="BA72" s="185"/>
      <c r="BB72" s="185"/>
      <c r="BC72" s="185"/>
      <c r="BD72" s="185"/>
      <c r="BE72" s="185"/>
      <c r="BF72" s="185"/>
      <c r="BG72" s="185"/>
      <c r="BH72" s="185"/>
      <c r="BI72" s="185"/>
      <c r="BJ72" s="185"/>
      <c r="BK72" s="185"/>
      <c r="BL72" s="185"/>
      <c r="BM72" s="185"/>
      <c r="BN72" s="185"/>
      <c r="BO72" s="185"/>
      <c r="BP72" s="185"/>
      <c r="BQ72" s="185"/>
      <c r="BR72" s="185"/>
      <c r="BS72" s="185"/>
      <c r="BT72" s="185"/>
      <c r="BU72" s="185"/>
    </row>
    <row r="73" spans="1:73" x14ac:dyDescent="0.25">
      <c r="A73" s="185"/>
      <c r="B73" s="185"/>
      <c r="C73" s="185"/>
      <c r="D73" s="185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185"/>
      <c r="AX73" s="185"/>
      <c r="AY73" s="185"/>
      <c r="AZ73" s="185"/>
      <c r="BA73" s="185"/>
      <c r="BB73" s="185"/>
      <c r="BC73" s="185"/>
      <c r="BD73" s="185"/>
      <c r="BE73" s="185"/>
      <c r="BF73" s="185"/>
      <c r="BG73" s="185"/>
      <c r="BH73" s="185"/>
      <c r="BI73" s="185"/>
      <c r="BJ73" s="185"/>
      <c r="BK73" s="185"/>
      <c r="BL73" s="185"/>
      <c r="BM73" s="185"/>
      <c r="BN73" s="185"/>
      <c r="BO73" s="185"/>
      <c r="BP73" s="185"/>
      <c r="BQ73" s="185"/>
      <c r="BR73" s="185"/>
      <c r="BS73" s="185"/>
      <c r="BT73" s="185"/>
      <c r="BU73" s="185"/>
    </row>
    <row r="74" spans="1:73" x14ac:dyDescent="0.25">
      <c r="A74" s="185"/>
      <c r="B74" s="185"/>
      <c r="C74" s="185"/>
      <c r="D74" s="185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185"/>
      <c r="AX74" s="185"/>
      <c r="AY74" s="185"/>
      <c r="AZ74" s="185"/>
      <c r="BA74" s="185"/>
      <c r="BB74" s="185"/>
      <c r="BC74" s="185"/>
      <c r="BD74" s="185"/>
      <c r="BE74" s="185"/>
      <c r="BF74" s="185"/>
      <c r="BG74" s="185"/>
      <c r="BH74" s="185"/>
      <c r="BI74" s="185"/>
      <c r="BJ74" s="185"/>
      <c r="BK74" s="185"/>
      <c r="BL74" s="185"/>
      <c r="BM74" s="185"/>
      <c r="BN74" s="185"/>
      <c r="BO74" s="185"/>
      <c r="BP74" s="185"/>
      <c r="BQ74" s="185"/>
      <c r="BR74" s="185"/>
      <c r="BS74" s="185"/>
      <c r="BT74" s="185"/>
      <c r="BU74" s="185"/>
    </row>
    <row r="75" spans="1:73" x14ac:dyDescent="0.25">
      <c r="A75" s="185"/>
      <c r="B75" s="185"/>
      <c r="C75" s="185"/>
      <c r="D75" s="185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  <c r="AC75" s="185"/>
      <c r="AD75" s="185"/>
      <c r="AE75" s="185"/>
      <c r="AF75" s="185"/>
      <c r="AG75" s="185"/>
      <c r="AH75" s="185"/>
      <c r="AI75" s="185"/>
      <c r="AJ75" s="185"/>
      <c r="AK75" s="185"/>
      <c r="AL75" s="185"/>
      <c r="AM75" s="185"/>
      <c r="AN75" s="185"/>
      <c r="AO75" s="185"/>
      <c r="AP75" s="185"/>
      <c r="AQ75" s="185"/>
      <c r="AR75" s="185"/>
      <c r="AS75" s="185"/>
      <c r="AT75" s="185"/>
      <c r="AU75" s="185"/>
      <c r="AV75" s="185"/>
      <c r="AW75" s="185"/>
      <c r="AX75" s="185"/>
      <c r="AY75" s="185"/>
      <c r="AZ75" s="185"/>
      <c r="BA75" s="185"/>
      <c r="BB75" s="185"/>
      <c r="BC75" s="185"/>
      <c r="BD75" s="185"/>
      <c r="BE75" s="185"/>
      <c r="BF75" s="185"/>
      <c r="BG75" s="185"/>
      <c r="BH75" s="185"/>
      <c r="BI75" s="185"/>
      <c r="BJ75" s="185"/>
      <c r="BK75" s="185"/>
      <c r="BL75" s="185"/>
      <c r="BM75" s="185"/>
      <c r="BN75" s="185"/>
      <c r="BO75" s="185"/>
      <c r="BP75" s="185"/>
      <c r="BQ75" s="185"/>
      <c r="BR75" s="185"/>
      <c r="BS75" s="185"/>
      <c r="BT75" s="185"/>
      <c r="BU75" s="185"/>
    </row>
    <row r="76" spans="1:73" x14ac:dyDescent="0.25">
      <c r="A76" s="185"/>
      <c r="B76" s="185"/>
      <c r="C76" s="185"/>
      <c r="D76" s="185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/>
      <c r="AZ76" s="185"/>
      <c r="BA76" s="185"/>
      <c r="BB76" s="185"/>
      <c r="BC76" s="185"/>
      <c r="BD76" s="185"/>
      <c r="BE76" s="185"/>
      <c r="BF76" s="185"/>
      <c r="BG76" s="185"/>
      <c r="BH76" s="185"/>
      <c r="BI76" s="185"/>
      <c r="BJ76" s="185"/>
      <c r="BK76" s="185"/>
      <c r="BL76" s="185"/>
      <c r="BM76" s="185"/>
      <c r="BN76" s="185"/>
      <c r="BO76" s="185"/>
      <c r="BP76" s="185"/>
      <c r="BQ76" s="185"/>
      <c r="BR76" s="185"/>
      <c r="BS76" s="185"/>
      <c r="BT76" s="185"/>
      <c r="BU76" s="185"/>
    </row>
    <row r="77" spans="1:73" x14ac:dyDescent="0.25">
      <c r="A77" s="185"/>
      <c r="B77" s="185"/>
      <c r="C77" s="185"/>
      <c r="D77" s="185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  <c r="AC77" s="185"/>
      <c r="AD77" s="185"/>
      <c r="AE77" s="185"/>
      <c r="AF77" s="185"/>
      <c r="AG77" s="185"/>
      <c r="AH77" s="185"/>
      <c r="AI77" s="185"/>
      <c r="AJ77" s="185"/>
      <c r="AK77" s="185"/>
      <c r="AL77" s="185"/>
      <c r="AM77" s="185"/>
      <c r="AN77" s="185"/>
      <c r="AO77" s="185"/>
      <c r="AP77" s="185"/>
      <c r="AQ77" s="185"/>
      <c r="AR77" s="185"/>
      <c r="AS77" s="185"/>
      <c r="AT77" s="185"/>
      <c r="AU77" s="185"/>
      <c r="AV77" s="185"/>
      <c r="AW77" s="185"/>
      <c r="AX77" s="185"/>
      <c r="AY77" s="185"/>
      <c r="AZ77" s="185"/>
      <c r="BA77" s="185"/>
      <c r="BB77" s="185"/>
      <c r="BC77" s="185"/>
      <c r="BD77" s="185"/>
      <c r="BE77" s="185"/>
      <c r="BF77" s="185"/>
      <c r="BG77" s="185"/>
      <c r="BH77" s="185"/>
      <c r="BI77" s="185"/>
      <c r="BJ77" s="185"/>
      <c r="BK77" s="185"/>
      <c r="BL77" s="185"/>
      <c r="BM77" s="185"/>
      <c r="BN77" s="185"/>
      <c r="BO77" s="185"/>
      <c r="BP77" s="185"/>
      <c r="BQ77" s="185"/>
      <c r="BR77" s="185"/>
      <c r="BS77" s="185"/>
      <c r="BT77" s="185"/>
      <c r="BU77" s="185"/>
    </row>
    <row r="78" spans="1:73" x14ac:dyDescent="0.25">
      <c r="A78" s="185"/>
      <c r="B78" s="185"/>
      <c r="C78" s="185"/>
      <c r="D78" s="185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185"/>
      <c r="AK78" s="185"/>
      <c r="AL78" s="185"/>
      <c r="AM78" s="185"/>
      <c r="AN78" s="185"/>
      <c r="AO78" s="185"/>
      <c r="AP78" s="185"/>
      <c r="AQ78" s="185"/>
      <c r="AR78" s="185"/>
      <c r="AS78" s="185"/>
      <c r="AT78" s="185"/>
      <c r="AU78" s="185"/>
      <c r="AV78" s="185"/>
      <c r="AW78" s="185"/>
      <c r="AX78" s="185"/>
      <c r="AY78" s="185"/>
      <c r="AZ78" s="185"/>
      <c r="BA78" s="185"/>
      <c r="BB78" s="185"/>
      <c r="BC78" s="185"/>
      <c r="BD78" s="185"/>
      <c r="BE78" s="185"/>
      <c r="BF78" s="185"/>
      <c r="BG78" s="185"/>
      <c r="BH78" s="185"/>
      <c r="BI78" s="185"/>
      <c r="BJ78" s="185"/>
      <c r="BK78" s="185"/>
      <c r="BL78" s="185"/>
      <c r="BM78" s="185"/>
      <c r="BN78" s="185"/>
      <c r="BO78" s="185"/>
      <c r="BP78" s="185"/>
      <c r="BQ78" s="185"/>
      <c r="BR78" s="185"/>
      <c r="BS78" s="185"/>
      <c r="BT78" s="185"/>
      <c r="BU78" s="185"/>
    </row>
    <row r="79" spans="1:73" x14ac:dyDescent="0.25">
      <c r="A79" s="185"/>
      <c r="B79" s="185"/>
      <c r="C79" s="185"/>
      <c r="D79" s="185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  <c r="R79" s="185"/>
      <c r="S79" s="185"/>
      <c r="T79" s="185"/>
      <c r="U79" s="185"/>
      <c r="V79" s="185"/>
      <c r="W79" s="185"/>
      <c r="X79" s="185"/>
      <c r="Y79" s="185"/>
      <c r="Z79" s="185"/>
      <c r="AA79" s="185"/>
      <c r="AB79" s="185"/>
      <c r="AC79" s="185"/>
      <c r="AD79" s="185"/>
      <c r="AE79" s="185"/>
      <c r="AF79" s="185"/>
      <c r="AG79" s="185"/>
      <c r="AH79" s="185"/>
      <c r="AI79" s="185"/>
      <c r="AJ79" s="185"/>
      <c r="AK79" s="185"/>
      <c r="AL79" s="185"/>
      <c r="AM79" s="185"/>
      <c r="AN79" s="185"/>
      <c r="AO79" s="185"/>
      <c r="AP79" s="185"/>
      <c r="AQ79" s="185"/>
      <c r="AR79" s="185"/>
      <c r="AS79" s="185"/>
      <c r="AT79" s="185"/>
      <c r="AU79" s="185"/>
      <c r="AV79" s="185"/>
      <c r="AW79" s="185"/>
      <c r="AX79" s="185"/>
      <c r="AY79" s="185"/>
      <c r="AZ79" s="185"/>
      <c r="BA79" s="185"/>
      <c r="BB79" s="185"/>
      <c r="BC79" s="185"/>
      <c r="BD79" s="185"/>
      <c r="BE79" s="185"/>
      <c r="BF79" s="185"/>
      <c r="BG79" s="185"/>
      <c r="BH79" s="185"/>
      <c r="BI79" s="185"/>
      <c r="BJ79" s="185"/>
      <c r="BK79" s="185"/>
      <c r="BL79" s="185"/>
      <c r="BM79" s="185"/>
      <c r="BN79" s="185"/>
      <c r="BO79" s="185"/>
      <c r="BP79" s="185"/>
      <c r="BQ79" s="185"/>
      <c r="BR79" s="185"/>
      <c r="BS79" s="185"/>
      <c r="BT79" s="185"/>
      <c r="BU79" s="185"/>
    </row>
    <row r="80" spans="1:73" x14ac:dyDescent="0.25">
      <c r="A80" s="185"/>
      <c r="B80" s="185"/>
      <c r="C80" s="185"/>
      <c r="D80" s="185"/>
      <c r="E80" s="185"/>
      <c r="F80" s="185"/>
      <c r="G80" s="185"/>
      <c r="H80" s="185"/>
      <c r="I80" s="185"/>
      <c r="J80" s="185"/>
      <c r="K80" s="185"/>
      <c r="L80" s="185"/>
      <c r="M80" s="185"/>
      <c r="N80" s="185"/>
      <c r="O80" s="185"/>
      <c r="P80" s="185"/>
      <c r="Q80" s="185"/>
      <c r="R80" s="185"/>
      <c r="S80" s="185"/>
      <c r="T80" s="185"/>
      <c r="U80" s="185"/>
      <c r="V80" s="185"/>
      <c r="W80" s="185"/>
      <c r="X80" s="185"/>
      <c r="Y80" s="185"/>
      <c r="Z80" s="185"/>
      <c r="AA80" s="185"/>
      <c r="AB80" s="185"/>
      <c r="AC80" s="185"/>
      <c r="AD80" s="185"/>
      <c r="AE80" s="185"/>
      <c r="AF80" s="185"/>
      <c r="AG80" s="185"/>
      <c r="AH80" s="185"/>
      <c r="AI80" s="185"/>
      <c r="AJ80" s="185"/>
      <c r="AK80" s="185"/>
      <c r="AL80" s="185"/>
      <c r="AM80" s="185"/>
      <c r="AN80" s="185"/>
      <c r="AO80" s="185"/>
      <c r="AP80" s="185"/>
      <c r="AQ80" s="185"/>
      <c r="AR80" s="185"/>
      <c r="AS80" s="185"/>
      <c r="AT80" s="185"/>
      <c r="AU80" s="185"/>
      <c r="AV80" s="185"/>
      <c r="AW80" s="185"/>
      <c r="AX80" s="185"/>
      <c r="AY80" s="185"/>
      <c r="AZ80" s="185"/>
      <c r="BA80" s="185"/>
      <c r="BB80" s="185"/>
      <c r="BC80" s="185"/>
      <c r="BD80" s="185"/>
      <c r="BE80" s="185"/>
      <c r="BF80" s="185"/>
      <c r="BG80" s="185"/>
      <c r="BH80" s="185"/>
      <c r="BI80" s="185"/>
      <c r="BJ80" s="185"/>
      <c r="BK80" s="185"/>
      <c r="BL80" s="185"/>
      <c r="BM80" s="185"/>
      <c r="BN80" s="185"/>
      <c r="BO80" s="185"/>
      <c r="BP80" s="185"/>
      <c r="BQ80" s="185"/>
      <c r="BR80" s="185"/>
      <c r="BS80" s="185"/>
      <c r="BT80" s="185"/>
      <c r="BU80" s="185"/>
    </row>
    <row r="81" spans="1:73" x14ac:dyDescent="0.25">
      <c r="A81" s="185"/>
      <c r="B81" s="185"/>
      <c r="C81" s="185"/>
      <c r="D81" s="185"/>
      <c r="E81" s="185"/>
      <c r="F81" s="185"/>
      <c r="G81" s="185"/>
      <c r="H81" s="185"/>
      <c r="I81" s="185"/>
      <c r="J81" s="185"/>
      <c r="K81" s="185"/>
      <c r="L81" s="185"/>
      <c r="M81" s="185"/>
      <c r="N81" s="185"/>
      <c r="O81" s="185"/>
      <c r="P81" s="185"/>
      <c r="Q81" s="185"/>
      <c r="R81" s="185"/>
      <c r="S81" s="185"/>
      <c r="T81" s="185"/>
      <c r="U81" s="185"/>
      <c r="V81" s="185"/>
      <c r="W81" s="185"/>
      <c r="X81" s="185"/>
      <c r="Y81" s="185"/>
      <c r="Z81" s="185"/>
      <c r="AA81" s="185"/>
      <c r="AB81" s="185"/>
      <c r="AC81" s="185"/>
      <c r="AD81" s="185"/>
      <c r="AE81" s="185"/>
      <c r="AF81" s="185"/>
      <c r="AG81" s="185"/>
      <c r="AH81" s="185"/>
      <c r="AI81" s="185"/>
      <c r="AJ81" s="185"/>
      <c r="AK81" s="185"/>
      <c r="AL81" s="185"/>
      <c r="AM81" s="185"/>
      <c r="AN81" s="185"/>
      <c r="AO81" s="185"/>
      <c r="AP81" s="185"/>
      <c r="AQ81" s="185"/>
      <c r="AR81" s="185"/>
      <c r="AS81" s="185"/>
      <c r="AT81" s="185"/>
      <c r="AU81" s="185"/>
      <c r="AV81" s="185"/>
      <c r="AW81" s="185"/>
      <c r="AX81" s="185"/>
      <c r="AY81" s="185"/>
      <c r="AZ81" s="185"/>
      <c r="BA81" s="185"/>
      <c r="BB81" s="185"/>
      <c r="BC81" s="185"/>
      <c r="BD81" s="185"/>
      <c r="BE81" s="185"/>
      <c r="BF81" s="185"/>
      <c r="BG81" s="185"/>
      <c r="BH81" s="185"/>
      <c r="BI81" s="185"/>
      <c r="BJ81" s="185"/>
      <c r="BK81" s="185"/>
      <c r="BL81" s="185"/>
      <c r="BM81" s="185"/>
      <c r="BN81" s="185"/>
      <c r="BO81" s="185"/>
      <c r="BP81" s="185"/>
      <c r="BQ81" s="185"/>
      <c r="BR81" s="185"/>
      <c r="BS81" s="185"/>
      <c r="BT81" s="185"/>
      <c r="BU81" s="185"/>
    </row>
    <row r="82" spans="1:73" x14ac:dyDescent="0.25">
      <c r="A82" s="185"/>
      <c r="B82" s="185"/>
      <c r="C82" s="185"/>
      <c r="D82" s="185"/>
      <c r="E82" s="185"/>
      <c r="F82" s="185"/>
      <c r="G82" s="185"/>
      <c r="H82" s="185"/>
      <c r="I82" s="185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185"/>
      <c r="AQ82" s="185"/>
      <c r="AR82" s="185"/>
      <c r="AS82" s="185"/>
      <c r="AT82" s="185"/>
      <c r="AU82" s="185"/>
      <c r="AV82" s="185"/>
      <c r="AW82" s="185"/>
      <c r="AX82" s="185"/>
      <c r="AY82" s="185"/>
      <c r="AZ82" s="185"/>
      <c r="BA82" s="185"/>
      <c r="BB82" s="185"/>
      <c r="BC82" s="185"/>
      <c r="BD82" s="185"/>
      <c r="BE82" s="185"/>
      <c r="BF82" s="185"/>
      <c r="BG82" s="185"/>
      <c r="BH82" s="185"/>
      <c r="BI82" s="185"/>
      <c r="BJ82" s="185"/>
      <c r="BK82" s="185"/>
      <c r="BL82" s="185"/>
      <c r="BM82" s="185"/>
      <c r="BN82" s="185"/>
      <c r="BO82" s="185"/>
      <c r="BP82" s="185"/>
      <c r="BQ82" s="185"/>
      <c r="BR82" s="185"/>
      <c r="BS82" s="185"/>
      <c r="BT82" s="185"/>
      <c r="BU82" s="185"/>
    </row>
    <row r="83" spans="1:73" x14ac:dyDescent="0.25">
      <c r="A83" s="185"/>
      <c r="B83" s="185"/>
      <c r="C83" s="185"/>
      <c r="D83" s="185"/>
      <c r="E83" s="185"/>
      <c r="F83" s="185"/>
      <c r="G83" s="185"/>
      <c r="H83" s="185"/>
      <c r="I83" s="185"/>
      <c r="J83" s="185"/>
      <c r="K83" s="185"/>
      <c r="L83" s="185"/>
      <c r="M83" s="185"/>
      <c r="N83" s="185"/>
      <c r="O83" s="185"/>
      <c r="P83" s="185"/>
      <c r="Q83" s="185"/>
      <c r="R83" s="185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/>
      <c r="AE83" s="185"/>
      <c r="AF83" s="185"/>
      <c r="AG83" s="185"/>
      <c r="AH83" s="185"/>
      <c r="AI83" s="185"/>
      <c r="AJ83" s="185"/>
      <c r="AK83" s="185"/>
      <c r="AL83" s="185"/>
      <c r="AM83" s="185"/>
      <c r="AN83" s="185"/>
      <c r="AO83" s="185"/>
      <c r="AP83" s="185"/>
      <c r="AQ83" s="185"/>
      <c r="AR83" s="185"/>
      <c r="AS83" s="185"/>
      <c r="AT83" s="185"/>
      <c r="AU83" s="185"/>
      <c r="AV83" s="185"/>
      <c r="AW83" s="185"/>
      <c r="AX83" s="185"/>
      <c r="AY83" s="185"/>
      <c r="AZ83" s="185"/>
      <c r="BA83" s="185"/>
      <c r="BB83" s="185"/>
      <c r="BC83" s="185"/>
      <c r="BD83" s="185"/>
      <c r="BE83" s="185"/>
      <c r="BF83" s="185"/>
      <c r="BG83" s="185"/>
      <c r="BH83" s="185"/>
      <c r="BI83" s="185"/>
      <c r="BJ83" s="185"/>
      <c r="BK83" s="185"/>
      <c r="BL83" s="185"/>
      <c r="BM83" s="185"/>
      <c r="BN83" s="185"/>
      <c r="BO83" s="185"/>
      <c r="BP83" s="185"/>
      <c r="BQ83" s="185"/>
      <c r="BR83" s="185"/>
      <c r="BS83" s="185"/>
      <c r="BT83" s="185"/>
      <c r="BU83" s="185"/>
    </row>
    <row r="84" spans="1:73" x14ac:dyDescent="0.25">
      <c r="A84" s="185"/>
      <c r="B84" s="185"/>
      <c r="C84" s="185"/>
      <c r="D84" s="185"/>
      <c r="E84" s="185"/>
      <c r="F84" s="185"/>
      <c r="G84" s="185"/>
      <c r="H84" s="185"/>
      <c r="I84" s="185"/>
      <c r="J84" s="185"/>
      <c r="K84" s="185"/>
      <c r="L84" s="185"/>
      <c r="M84" s="185"/>
      <c r="N84" s="185"/>
      <c r="O84" s="185"/>
      <c r="P84" s="185"/>
      <c r="Q84" s="185"/>
      <c r="R84" s="185"/>
      <c r="S84" s="185"/>
      <c r="T84" s="185"/>
      <c r="U84" s="185"/>
      <c r="V84" s="185"/>
      <c r="W84" s="185"/>
      <c r="X84" s="185"/>
      <c r="Y84" s="185"/>
      <c r="Z84" s="185"/>
      <c r="AA84" s="185"/>
      <c r="AB84" s="185"/>
      <c r="AC84" s="185"/>
      <c r="AD84" s="185"/>
      <c r="AE84" s="185"/>
      <c r="AF84" s="185"/>
      <c r="AG84" s="185"/>
      <c r="AH84" s="185"/>
      <c r="AI84" s="185"/>
      <c r="AJ84" s="185"/>
      <c r="AK84" s="185"/>
      <c r="AL84" s="185"/>
      <c r="AM84" s="185"/>
      <c r="AN84" s="185"/>
      <c r="AO84" s="185"/>
      <c r="AP84" s="185"/>
      <c r="AQ84" s="185"/>
      <c r="AR84" s="185"/>
      <c r="AS84" s="185"/>
      <c r="AT84" s="185"/>
      <c r="AU84" s="185"/>
      <c r="AV84" s="185"/>
      <c r="AW84" s="185"/>
      <c r="AX84" s="185"/>
      <c r="AY84" s="185"/>
      <c r="AZ84" s="185"/>
      <c r="BA84" s="185"/>
      <c r="BB84" s="185"/>
      <c r="BC84" s="185"/>
      <c r="BD84" s="185"/>
      <c r="BE84" s="185"/>
      <c r="BF84" s="185"/>
      <c r="BG84" s="185"/>
      <c r="BH84" s="185"/>
      <c r="BI84" s="185"/>
      <c r="BJ84" s="185"/>
      <c r="BK84" s="185"/>
      <c r="BL84" s="185"/>
      <c r="BM84" s="185"/>
      <c r="BN84" s="185"/>
      <c r="BO84" s="185"/>
      <c r="BP84" s="185"/>
      <c r="BQ84" s="185"/>
      <c r="BR84" s="185"/>
      <c r="BS84" s="185"/>
      <c r="BT84" s="185"/>
      <c r="BU84" s="185"/>
    </row>
    <row r="85" spans="1:73" x14ac:dyDescent="0.25">
      <c r="A85" s="185"/>
      <c r="B85" s="185"/>
      <c r="C85" s="185"/>
      <c r="D85" s="185"/>
      <c r="E85" s="185"/>
      <c r="F85" s="185"/>
      <c r="G85" s="185"/>
      <c r="H85" s="185"/>
      <c r="I85" s="185"/>
      <c r="J85" s="185"/>
      <c r="K85" s="185"/>
      <c r="L85" s="185"/>
      <c r="M85" s="185"/>
      <c r="N85" s="185"/>
      <c r="O85" s="185"/>
      <c r="P85" s="185"/>
      <c r="Q85" s="185"/>
      <c r="R85" s="185"/>
      <c r="S85" s="185"/>
      <c r="T85" s="185"/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  <c r="AF85" s="185"/>
      <c r="AG85" s="185"/>
      <c r="AH85" s="185"/>
      <c r="AI85" s="185"/>
      <c r="AJ85" s="185"/>
      <c r="AK85" s="185"/>
      <c r="AL85" s="185"/>
      <c r="AM85" s="185"/>
      <c r="AN85" s="185"/>
      <c r="AO85" s="185"/>
      <c r="AP85" s="185"/>
      <c r="AQ85" s="185"/>
      <c r="AR85" s="185"/>
      <c r="AS85" s="185"/>
      <c r="AT85" s="185"/>
      <c r="AU85" s="185"/>
      <c r="AV85" s="185"/>
      <c r="AW85" s="185"/>
      <c r="AX85" s="185"/>
      <c r="AY85" s="185"/>
      <c r="AZ85" s="185"/>
      <c r="BA85" s="185"/>
      <c r="BB85" s="185"/>
      <c r="BC85" s="185"/>
      <c r="BD85" s="185"/>
      <c r="BE85" s="185"/>
      <c r="BF85" s="185"/>
      <c r="BG85" s="185"/>
      <c r="BH85" s="185"/>
      <c r="BI85" s="185"/>
      <c r="BJ85" s="185"/>
      <c r="BK85" s="185"/>
      <c r="BL85" s="185"/>
      <c r="BM85" s="185"/>
      <c r="BN85" s="185"/>
      <c r="BO85" s="185"/>
      <c r="BP85" s="185"/>
      <c r="BQ85" s="185"/>
      <c r="BR85" s="185"/>
      <c r="BS85" s="185"/>
      <c r="BT85" s="185"/>
      <c r="BU85" s="185"/>
    </row>
    <row r="86" spans="1:73" x14ac:dyDescent="0.25">
      <c r="A86" s="185"/>
      <c r="B86" s="185"/>
      <c r="C86" s="185"/>
      <c r="D86" s="185"/>
      <c r="E86" s="185"/>
      <c r="F86" s="185"/>
      <c r="G86" s="185"/>
      <c r="H86" s="185"/>
      <c r="I86" s="185"/>
      <c r="J86" s="185"/>
      <c r="K86" s="185"/>
      <c r="L86" s="185"/>
      <c r="M86" s="185"/>
      <c r="N86" s="185"/>
      <c r="O86" s="185"/>
      <c r="P86" s="185"/>
      <c r="Q86" s="185"/>
      <c r="R86" s="185"/>
      <c r="S86" s="185"/>
      <c r="T86" s="185"/>
      <c r="U86" s="185"/>
      <c r="V86" s="185"/>
      <c r="W86" s="185"/>
      <c r="X86" s="185"/>
      <c r="Y86" s="185"/>
      <c r="Z86" s="185"/>
      <c r="AA86" s="185"/>
      <c r="AB86" s="185"/>
      <c r="AC86" s="185"/>
      <c r="AD86" s="185"/>
      <c r="AE86" s="185"/>
      <c r="AF86" s="185"/>
      <c r="AG86" s="185"/>
      <c r="AH86" s="185"/>
      <c r="AI86" s="185"/>
      <c r="AJ86" s="185"/>
      <c r="AK86" s="185"/>
      <c r="AL86" s="185"/>
      <c r="AM86" s="185"/>
      <c r="AN86" s="185"/>
      <c r="AO86" s="185"/>
      <c r="AP86" s="185"/>
      <c r="AQ86" s="185"/>
      <c r="AR86" s="185"/>
      <c r="AS86" s="185"/>
      <c r="AT86" s="185"/>
      <c r="AU86" s="185"/>
      <c r="AV86" s="185"/>
      <c r="AW86" s="185"/>
      <c r="AX86" s="185"/>
      <c r="AY86" s="185"/>
      <c r="AZ86" s="185"/>
      <c r="BA86" s="185"/>
      <c r="BB86" s="185"/>
      <c r="BC86" s="185"/>
      <c r="BD86" s="185"/>
      <c r="BE86" s="185"/>
      <c r="BF86" s="185"/>
      <c r="BG86" s="185"/>
      <c r="BH86" s="185"/>
      <c r="BI86" s="185"/>
      <c r="BJ86" s="185"/>
      <c r="BK86" s="185"/>
      <c r="BL86" s="185"/>
      <c r="BM86" s="185"/>
      <c r="BN86" s="185"/>
      <c r="BO86" s="185"/>
      <c r="BP86" s="185"/>
      <c r="BQ86" s="185"/>
      <c r="BR86" s="185"/>
      <c r="BS86" s="185"/>
      <c r="BT86" s="185"/>
      <c r="BU86" s="185"/>
    </row>
    <row r="87" spans="1:73" x14ac:dyDescent="0.25">
      <c r="A87" s="185"/>
      <c r="B87" s="185"/>
      <c r="C87" s="185"/>
      <c r="D87" s="185"/>
      <c r="E87" s="185"/>
      <c r="F87" s="185"/>
      <c r="G87" s="185"/>
      <c r="H87" s="185"/>
      <c r="I87" s="185"/>
      <c r="J87" s="185"/>
      <c r="K87" s="185"/>
      <c r="L87" s="185"/>
      <c r="M87" s="185"/>
      <c r="N87" s="185"/>
      <c r="O87" s="185"/>
      <c r="P87" s="185"/>
      <c r="Q87" s="185"/>
      <c r="R87" s="185"/>
      <c r="S87" s="185"/>
      <c r="T87" s="185"/>
      <c r="U87" s="185"/>
      <c r="V87" s="185"/>
      <c r="W87" s="185"/>
      <c r="X87" s="185"/>
      <c r="Y87" s="185"/>
      <c r="Z87" s="185"/>
      <c r="AA87" s="185"/>
      <c r="AB87" s="185"/>
      <c r="AC87" s="185"/>
      <c r="AD87" s="185"/>
      <c r="AE87" s="185"/>
      <c r="AF87" s="185"/>
      <c r="AG87" s="185"/>
      <c r="AH87" s="185"/>
      <c r="AI87" s="185"/>
      <c r="AJ87" s="185"/>
      <c r="AK87" s="185"/>
      <c r="AL87" s="185"/>
      <c r="AM87" s="185"/>
      <c r="AN87" s="185"/>
      <c r="AO87" s="185"/>
      <c r="AP87" s="185"/>
      <c r="AQ87" s="185"/>
      <c r="AR87" s="185"/>
      <c r="AS87" s="185"/>
      <c r="AT87" s="185"/>
      <c r="AU87" s="185"/>
      <c r="AV87" s="185"/>
      <c r="AW87" s="185"/>
      <c r="AX87" s="185"/>
      <c r="AY87" s="185"/>
      <c r="AZ87" s="185"/>
      <c r="BA87" s="185"/>
      <c r="BB87" s="185"/>
      <c r="BC87" s="185"/>
      <c r="BD87" s="185"/>
      <c r="BE87" s="185"/>
      <c r="BF87" s="185"/>
      <c r="BG87" s="185"/>
      <c r="BH87" s="185"/>
      <c r="BI87" s="185"/>
      <c r="BJ87" s="185"/>
      <c r="BK87" s="185"/>
      <c r="BL87" s="185"/>
      <c r="BM87" s="185"/>
      <c r="BN87" s="185"/>
      <c r="BO87" s="185"/>
      <c r="BP87" s="185"/>
      <c r="BQ87" s="185"/>
      <c r="BR87" s="185"/>
      <c r="BS87" s="185"/>
      <c r="BT87" s="185"/>
      <c r="BU87" s="185"/>
    </row>
    <row r="88" spans="1:73" x14ac:dyDescent="0.25">
      <c r="A88" s="185"/>
      <c r="B88" s="185"/>
      <c r="C88" s="185"/>
      <c r="D88" s="185"/>
      <c r="E88" s="185"/>
      <c r="F88" s="185"/>
      <c r="G88" s="185"/>
      <c r="H88" s="185"/>
      <c r="I88" s="185"/>
      <c r="J88" s="185"/>
      <c r="K88" s="185"/>
      <c r="L88" s="185"/>
      <c r="M88" s="185"/>
      <c r="N88" s="185"/>
      <c r="O88" s="185"/>
      <c r="P88" s="185"/>
      <c r="Q88" s="185"/>
      <c r="R88" s="185"/>
      <c r="S88" s="185"/>
      <c r="T88" s="185"/>
      <c r="U88" s="185"/>
      <c r="V88" s="185"/>
      <c r="W88" s="185"/>
      <c r="X88" s="185"/>
      <c r="Y88" s="185"/>
      <c r="Z88" s="185"/>
      <c r="AA88" s="185"/>
      <c r="AB88" s="185"/>
      <c r="AC88" s="185"/>
      <c r="AD88" s="185"/>
      <c r="AE88" s="185"/>
      <c r="AF88" s="185"/>
      <c r="AG88" s="185"/>
      <c r="AH88" s="185"/>
      <c r="AI88" s="185"/>
      <c r="AJ88" s="185"/>
      <c r="AK88" s="185"/>
      <c r="AL88" s="185"/>
      <c r="AM88" s="185"/>
      <c r="AN88" s="185"/>
      <c r="AO88" s="185"/>
      <c r="AP88" s="185"/>
      <c r="AQ88" s="185"/>
      <c r="AR88" s="185"/>
      <c r="AS88" s="185"/>
      <c r="AT88" s="185"/>
      <c r="AU88" s="185"/>
      <c r="AV88" s="185"/>
      <c r="AW88" s="185"/>
      <c r="AX88" s="185"/>
      <c r="AY88" s="185"/>
      <c r="AZ88" s="185"/>
      <c r="BA88" s="185"/>
      <c r="BB88" s="185"/>
      <c r="BC88" s="185"/>
      <c r="BD88" s="185"/>
      <c r="BE88" s="185"/>
      <c r="BF88" s="185"/>
      <c r="BG88" s="185"/>
      <c r="BH88" s="185"/>
      <c r="BI88" s="185"/>
      <c r="BJ88" s="185"/>
      <c r="BK88" s="185"/>
      <c r="BL88" s="185"/>
      <c r="BM88" s="185"/>
      <c r="BN88" s="185"/>
      <c r="BO88" s="185"/>
      <c r="BP88" s="185"/>
      <c r="BQ88" s="185"/>
      <c r="BR88" s="185"/>
      <c r="BS88" s="185"/>
      <c r="BT88" s="185"/>
      <c r="BU88" s="185"/>
    </row>
    <row r="89" spans="1:73" x14ac:dyDescent="0.25">
      <c r="A89" s="185"/>
      <c r="B89" s="185"/>
      <c r="C89" s="185"/>
      <c r="D89" s="185"/>
      <c r="E89" s="185"/>
      <c r="F89" s="185"/>
      <c r="G89" s="185"/>
      <c r="H89" s="185"/>
      <c r="I89" s="185"/>
      <c r="J89" s="185"/>
      <c r="K89" s="185"/>
      <c r="L89" s="185"/>
      <c r="M89" s="185"/>
      <c r="N89" s="185"/>
      <c r="O89" s="185"/>
      <c r="P89" s="185"/>
      <c r="Q89" s="185"/>
      <c r="R89" s="185"/>
      <c r="S89" s="185"/>
      <c r="T89" s="185"/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  <c r="AF89" s="185"/>
      <c r="AG89" s="185"/>
      <c r="AH89" s="185"/>
      <c r="AI89" s="185"/>
      <c r="AJ89" s="185"/>
      <c r="AK89" s="185"/>
      <c r="AL89" s="185"/>
      <c r="AM89" s="185"/>
      <c r="AN89" s="185"/>
      <c r="AO89" s="185"/>
      <c r="AP89" s="185"/>
      <c r="AQ89" s="185"/>
      <c r="AR89" s="185"/>
      <c r="AS89" s="185"/>
      <c r="AT89" s="185"/>
      <c r="AU89" s="185"/>
      <c r="AV89" s="185"/>
      <c r="AW89" s="185"/>
      <c r="AX89" s="185"/>
      <c r="AY89" s="185"/>
      <c r="AZ89" s="185"/>
      <c r="BA89" s="185"/>
      <c r="BB89" s="185"/>
      <c r="BC89" s="185"/>
      <c r="BD89" s="185"/>
      <c r="BE89" s="185"/>
      <c r="BF89" s="185"/>
      <c r="BG89" s="185"/>
      <c r="BH89" s="185"/>
      <c r="BI89" s="185"/>
      <c r="BJ89" s="185"/>
      <c r="BK89" s="185"/>
      <c r="BL89" s="185"/>
      <c r="BM89" s="185"/>
      <c r="BN89" s="185"/>
      <c r="BO89" s="185"/>
      <c r="BP89" s="185"/>
      <c r="BQ89" s="185"/>
      <c r="BR89" s="185"/>
      <c r="BS89" s="185"/>
      <c r="BT89" s="185"/>
      <c r="BU89" s="185"/>
    </row>
    <row r="90" spans="1:73" x14ac:dyDescent="0.25">
      <c r="A90" s="185"/>
      <c r="B90" s="185"/>
      <c r="C90" s="185"/>
      <c r="D90" s="185"/>
      <c r="E90" s="185"/>
      <c r="F90" s="185"/>
      <c r="G90" s="185"/>
      <c r="H90" s="185"/>
      <c r="I90" s="185"/>
      <c r="J90" s="185"/>
      <c r="K90" s="185"/>
      <c r="L90" s="185"/>
      <c r="M90" s="185"/>
      <c r="N90" s="185"/>
      <c r="O90" s="185"/>
      <c r="P90" s="185"/>
      <c r="Q90" s="185"/>
      <c r="R90" s="185"/>
      <c r="S90" s="185"/>
      <c r="T90" s="185"/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  <c r="AF90" s="185"/>
      <c r="AG90" s="185"/>
      <c r="AH90" s="185"/>
      <c r="AI90" s="185"/>
      <c r="AJ90" s="185"/>
      <c r="AK90" s="185"/>
      <c r="AL90" s="185"/>
      <c r="AM90" s="185"/>
      <c r="AN90" s="185"/>
      <c r="AO90" s="185"/>
      <c r="AP90" s="185"/>
      <c r="AQ90" s="185"/>
      <c r="AR90" s="185"/>
      <c r="AS90" s="185"/>
      <c r="AT90" s="185"/>
      <c r="AU90" s="185"/>
      <c r="AV90" s="185"/>
      <c r="AW90" s="185"/>
      <c r="AX90" s="185"/>
      <c r="AY90" s="185"/>
      <c r="AZ90" s="185"/>
      <c r="BA90" s="185"/>
      <c r="BB90" s="185"/>
      <c r="BC90" s="185"/>
      <c r="BD90" s="185"/>
      <c r="BE90" s="185"/>
      <c r="BF90" s="185"/>
      <c r="BG90" s="185"/>
      <c r="BH90" s="185"/>
      <c r="BI90" s="185"/>
      <c r="BJ90" s="185"/>
      <c r="BK90" s="185"/>
      <c r="BL90" s="185"/>
      <c r="BM90" s="185"/>
      <c r="BN90" s="185"/>
      <c r="BO90" s="185"/>
      <c r="BP90" s="185"/>
      <c r="BQ90" s="185"/>
      <c r="BR90" s="185"/>
      <c r="BS90" s="185"/>
      <c r="BT90" s="185"/>
      <c r="BU90" s="185"/>
    </row>
    <row r="91" spans="1:73" x14ac:dyDescent="0.25">
      <c r="A91" s="185"/>
      <c r="B91" s="185"/>
      <c r="C91" s="185"/>
      <c r="D91" s="185"/>
      <c r="E91" s="185"/>
      <c r="F91" s="185"/>
      <c r="G91" s="185"/>
      <c r="H91" s="185"/>
      <c r="I91" s="185"/>
      <c r="J91" s="185"/>
      <c r="K91" s="185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5"/>
      <c r="Y91" s="185"/>
      <c r="Z91" s="185"/>
      <c r="AA91" s="185"/>
      <c r="AB91" s="185"/>
      <c r="AC91" s="185"/>
      <c r="AD91" s="185"/>
      <c r="AE91" s="185"/>
      <c r="AF91" s="185"/>
      <c r="AG91" s="185"/>
      <c r="AH91" s="185"/>
      <c r="AI91" s="185"/>
      <c r="AJ91" s="185"/>
      <c r="AK91" s="185"/>
      <c r="AL91" s="185"/>
      <c r="AM91" s="185"/>
      <c r="AN91" s="185"/>
      <c r="AO91" s="185"/>
      <c r="AP91" s="185"/>
      <c r="AQ91" s="185"/>
      <c r="AR91" s="185"/>
      <c r="AS91" s="185"/>
      <c r="AT91" s="185"/>
      <c r="AU91" s="185"/>
      <c r="AV91" s="185"/>
      <c r="AW91" s="185"/>
      <c r="AX91" s="185"/>
      <c r="AY91" s="185"/>
      <c r="AZ91" s="185"/>
      <c r="BA91" s="185"/>
      <c r="BB91" s="185"/>
      <c r="BC91" s="185"/>
      <c r="BD91" s="185"/>
      <c r="BE91" s="185"/>
      <c r="BF91" s="185"/>
      <c r="BG91" s="185"/>
      <c r="BH91" s="185"/>
      <c r="BI91" s="185"/>
      <c r="BJ91" s="185"/>
      <c r="BK91" s="185"/>
      <c r="BL91" s="185"/>
      <c r="BM91" s="185"/>
      <c r="BN91" s="185"/>
      <c r="BO91" s="185"/>
      <c r="BP91" s="185"/>
      <c r="BQ91" s="185"/>
      <c r="BR91" s="185"/>
      <c r="BS91" s="185"/>
      <c r="BT91" s="185"/>
      <c r="BU91" s="185"/>
    </row>
    <row r="92" spans="1:73" x14ac:dyDescent="0.25">
      <c r="A92" s="185"/>
      <c r="B92" s="185"/>
      <c r="C92" s="185"/>
      <c r="D92" s="185"/>
      <c r="E92" s="185"/>
      <c r="F92" s="185"/>
      <c r="G92" s="185"/>
      <c r="H92" s="185"/>
      <c r="I92" s="185"/>
      <c r="J92" s="185"/>
      <c r="K92" s="185"/>
      <c r="L92" s="185"/>
      <c r="M92" s="185"/>
      <c r="N92" s="185"/>
      <c r="O92" s="185"/>
      <c r="P92" s="185"/>
      <c r="Q92" s="185"/>
      <c r="R92" s="185"/>
      <c r="S92" s="185"/>
      <c r="T92" s="185"/>
      <c r="U92" s="185"/>
      <c r="V92" s="185"/>
      <c r="W92" s="185"/>
      <c r="X92" s="185"/>
      <c r="Y92" s="185"/>
      <c r="Z92" s="185"/>
      <c r="AA92" s="185"/>
      <c r="AB92" s="185"/>
      <c r="AC92" s="185"/>
      <c r="AD92" s="185"/>
      <c r="AE92" s="185"/>
      <c r="AF92" s="185"/>
      <c r="AG92" s="185"/>
      <c r="AH92" s="185"/>
      <c r="AI92" s="185"/>
      <c r="AJ92" s="185"/>
      <c r="AK92" s="185"/>
      <c r="AL92" s="185"/>
      <c r="AM92" s="185"/>
      <c r="AN92" s="185"/>
      <c r="AO92" s="185"/>
      <c r="AP92" s="185"/>
      <c r="AQ92" s="185"/>
      <c r="AR92" s="185"/>
      <c r="AS92" s="185"/>
      <c r="AT92" s="185"/>
      <c r="AU92" s="185"/>
      <c r="AV92" s="185"/>
      <c r="AW92" s="185"/>
      <c r="AX92" s="185"/>
      <c r="AY92" s="185"/>
      <c r="AZ92" s="185"/>
      <c r="BA92" s="185"/>
      <c r="BB92" s="185"/>
      <c r="BC92" s="185"/>
      <c r="BD92" s="185"/>
      <c r="BE92" s="185"/>
      <c r="BF92" s="185"/>
      <c r="BG92" s="185"/>
      <c r="BH92" s="185"/>
      <c r="BI92" s="185"/>
      <c r="BJ92" s="185"/>
      <c r="BK92" s="185"/>
      <c r="BL92" s="185"/>
      <c r="BM92" s="185"/>
      <c r="BN92" s="185"/>
      <c r="BO92" s="185"/>
      <c r="BP92" s="185"/>
      <c r="BQ92" s="185"/>
      <c r="BR92" s="185"/>
      <c r="BS92" s="185"/>
      <c r="BT92" s="185"/>
      <c r="BU92" s="185"/>
    </row>
    <row r="93" spans="1:73" x14ac:dyDescent="0.25">
      <c r="A93" s="185"/>
      <c r="B93" s="185"/>
      <c r="C93" s="185"/>
      <c r="D93" s="185"/>
      <c r="E93" s="185"/>
      <c r="F93" s="185"/>
      <c r="G93" s="185"/>
      <c r="H93" s="185"/>
      <c r="I93" s="185"/>
      <c r="J93" s="185"/>
      <c r="K93" s="185"/>
      <c r="L93" s="185"/>
      <c r="M93" s="185"/>
      <c r="N93" s="185"/>
      <c r="O93" s="185"/>
      <c r="P93" s="185"/>
      <c r="Q93" s="185"/>
      <c r="R93" s="185"/>
      <c r="S93" s="185"/>
      <c r="T93" s="185"/>
      <c r="U93" s="185"/>
      <c r="V93" s="185"/>
      <c r="W93" s="185"/>
      <c r="X93" s="185"/>
      <c r="Y93" s="185"/>
      <c r="Z93" s="185"/>
      <c r="AA93" s="185"/>
      <c r="AB93" s="185"/>
      <c r="AC93" s="185"/>
      <c r="AD93" s="185"/>
      <c r="AE93" s="185"/>
      <c r="AF93" s="185"/>
      <c r="AG93" s="185"/>
      <c r="AH93" s="185"/>
      <c r="AI93" s="185"/>
      <c r="AJ93" s="185"/>
      <c r="AK93" s="185"/>
      <c r="AL93" s="185"/>
      <c r="AM93" s="185"/>
      <c r="AN93" s="185"/>
      <c r="AO93" s="185"/>
      <c r="AP93" s="185"/>
      <c r="AQ93" s="185"/>
      <c r="AR93" s="185"/>
      <c r="AS93" s="185"/>
      <c r="AT93" s="185"/>
      <c r="AU93" s="185"/>
      <c r="AV93" s="185"/>
      <c r="AW93" s="185"/>
      <c r="AX93" s="185"/>
      <c r="AY93" s="185"/>
      <c r="AZ93" s="185"/>
      <c r="BA93" s="185"/>
      <c r="BB93" s="185"/>
      <c r="BC93" s="185"/>
      <c r="BD93" s="185"/>
      <c r="BE93" s="185"/>
      <c r="BF93" s="185"/>
      <c r="BG93" s="185"/>
      <c r="BH93" s="185"/>
      <c r="BI93" s="185"/>
      <c r="BJ93" s="185"/>
      <c r="BK93" s="185"/>
      <c r="BL93" s="185"/>
      <c r="BM93" s="185"/>
      <c r="BN93" s="185"/>
      <c r="BO93" s="185"/>
      <c r="BP93" s="185"/>
      <c r="BQ93" s="185"/>
      <c r="BR93" s="185"/>
      <c r="BS93" s="185"/>
      <c r="BT93" s="185"/>
      <c r="BU93" s="185"/>
    </row>
    <row r="94" spans="1:73" x14ac:dyDescent="0.25">
      <c r="A94" s="185"/>
      <c r="B94" s="185"/>
      <c r="C94" s="185"/>
      <c r="D94" s="185"/>
      <c r="E94" s="185"/>
      <c r="F94" s="185"/>
      <c r="G94" s="185"/>
      <c r="H94" s="185"/>
      <c r="I94" s="185"/>
      <c r="J94" s="185"/>
      <c r="K94" s="185"/>
      <c r="L94" s="185"/>
      <c r="M94" s="185"/>
      <c r="N94" s="185"/>
      <c r="O94" s="185"/>
      <c r="P94" s="185"/>
      <c r="Q94" s="185"/>
      <c r="R94" s="185"/>
      <c r="S94" s="185"/>
      <c r="T94" s="185"/>
      <c r="U94" s="185"/>
      <c r="V94" s="185"/>
      <c r="W94" s="185"/>
      <c r="X94" s="185"/>
      <c r="Y94" s="185"/>
      <c r="Z94" s="185"/>
      <c r="AA94" s="185"/>
      <c r="AB94" s="185"/>
      <c r="AC94" s="185"/>
      <c r="AD94" s="185"/>
      <c r="AE94" s="185"/>
      <c r="AF94" s="185"/>
      <c r="AG94" s="185"/>
      <c r="AH94" s="185"/>
      <c r="AI94" s="185"/>
      <c r="AJ94" s="185"/>
      <c r="AK94" s="185"/>
      <c r="AL94" s="185"/>
      <c r="AM94" s="185"/>
      <c r="AN94" s="185"/>
      <c r="AO94" s="185"/>
      <c r="AP94" s="185"/>
      <c r="AQ94" s="185"/>
      <c r="AR94" s="185"/>
      <c r="AS94" s="185"/>
      <c r="AT94" s="185"/>
      <c r="AU94" s="185"/>
      <c r="AV94" s="185"/>
      <c r="AW94" s="185"/>
      <c r="AX94" s="185"/>
      <c r="AY94" s="185"/>
      <c r="AZ94" s="185"/>
      <c r="BA94" s="185"/>
      <c r="BB94" s="185"/>
      <c r="BC94" s="185"/>
      <c r="BD94" s="185"/>
      <c r="BE94" s="185"/>
      <c r="BF94" s="185"/>
      <c r="BG94" s="185"/>
      <c r="BH94" s="185"/>
      <c r="BI94" s="185"/>
      <c r="BJ94" s="185"/>
      <c r="BK94" s="185"/>
      <c r="BL94" s="185"/>
      <c r="BM94" s="185"/>
      <c r="BN94" s="185"/>
      <c r="BO94" s="185"/>
      <c r="BP94" s="185"/>
      <c r="BQ94" s="185"/>
      <c r="BR94" s="185"/>
      <c r="BS94" s="185"/>
      <c r="BT94" s="185"/>
      <c r="BU94" s="185"/>
    </row>
    <row r="95" spans="1:73" x14ac:dyDescent="0.25">
      <c r="A95" s="185"/>
      <c r="B95" s="185"/>
      <c r="C95" s="185"/>
      <c r="D95" s="185"/>
      <c r="E95" s="185"/>
      <c r="F95" s="185"/>
      <c r="G95" s="185"/>
      <c r="H95" s="185"/>
      <c r="I95" s="185"/>
      <c r="J95" s="185"/>
      <c r="K95" s="185"/>
      <c r="L95" s="185"/>
      <c r="M95" s="185"/>
      <c r="N95" s="185"/>
      <c r="O95" s="185"/>
      <c r="P95" s="185"/>
      <c r="Q95" s="185"/>
      <c r="R95" s="185"/>
      <c r="S95" s="185"/>
      <c r="T95" s="185"/>
      <c r="U95" s="185"/>
      <c r="V95" s="185"/>
      <c r="W95" s="185"/>
      <c r="X95" s="185"/>
      <c r="Y95" s="185"/>
      <c r="Z95" s="185"/>
      <c r="AA95" s="185"/>
      <c r="AB95" s="185"/>
      <c r="AC95" s="185"/>
      <c r="AD95" s="185"/>
      <c r="AE95" s="185"/>
      <c r="AF95" s="185"/>
      <c r="AG95" s="185"/>
      <c r="AH95" s="185"/>
      <c r="AI95" s="185"/>
      <c r="AJ95" s="185"/>
      <c r="AK95" s="185"/>
      <c r="AL95" s="185"/>
      <c r="AM95" s="185"/>
      <c r="AN95" s="185"/>
      <c r="AO95" s="185"/>
      <c r="AP95" s="185"/>
      <c r="AQ95" s="185"/>
      <c r="AR95" s="185"/>
      <c r="AS95" s="185"/>
      <c r="AT95" s="185"/>
      <c r="AU95" s="185"/>
      <c r="AV95" s="185"/>
      <c r="AW95" s="185"/>
      <c r="AX95" s="185"/>
      <c r="AY95" s="185"/>
      <c r="AZ95" s="185"/>
      <c r="BA95" s="185"/>
      <c r="BB95" s="185"/>
      <c r="BC95" s="185"/>
      <c r="BD95" s="185"/>
      <c r="BE95" s="185"/>
      <c r="BF95" s="185"/>
      <c r="BG95" s="185"/>
      <c r="BH95" s="185"/>
      <c r="BI95" s="185"/>
      <c r="BJ95" s="185"/>
      <c r="BK95" s="185"/>
      <c r="BL95" s="185"/>
      <c r="BM95" s="185"/>
      <c r="BN95" s="185"/>
      <c r="BO95" s="185"/>
      <c r="BP95" s="185"/>
      <c r="BQ95" s="185"/>
      <c r="BR95" s="185"/>
      <c r="BS95" s="185"/>
      <c r="BT95" s="185"/>
      <c r="BU95" s="185"/>
    </row>
    <row r="96" spans="1:73" x14ac:dyDescent="0.25">
      <c r="A96" s="185"/>
      <c r="B96" s="185"/>
      <c r="C96" s="185"/>
      <c r="D96" s="185"/>
      <c r="E96" s="185"/>
      <c r="F96" s="185"/>
      <c r="G96" s="185"/>
      <c r="H96" s="185"/>
      <c r="I96" s="185"/>
      <c r="J96" s="185"/>
      <c r="K96" s="185"/>
      <c r="L96" s="185"/>
      <c r="M96" s="185"/>
      <c r="N96" s="185"/>
      <c r="O96" s="185"/>
      <c r="P96" s="185"/>
      <c r="Q96" s="185"/>
      <c r="R96" s="185"/>
      <c r="S96" s="185"/>
      <c r="T96" s="185"/>
      <c r="U96" s="185"/>
      <c r="V96" s="185"/>
      <c r="W96" s="185"/>
      <c r="X96" s="185"/>
      <c r="Y96" s="185"/>
      <c r="Z96" s="185"/>
      <c r="AA96" s="185"/>
      <c r="AB96" s="185"/>
      <c r="AC96" s="185"/>
      <c r="AD96" s="185"/>
      <c r="AE96" s="185"/>
      <c r="AF96" s="185"/>
      <c r="AG96" s="185"/>
      <c r="AH96" s="185"/>
      <c r="AI96" s="185"/>
      <c r="AJ96" s="185"/>
      <c r="AK96" s="185"/>
      <c r="AL96" s="185"/>
      <c r="AM96" s="185"/>
      <c r="AN96" s="185"/>
      <c r="AO96" s="185"/>
      <c r="AP96" s="185"/>
      <c r="AQ96" s="185"/>
      <c r="AR96" s="185"/>
      <c r="AS96" s="185"/>
      <c r="AT96" s="185"/>
      <c r="AU96" s="185"/>
      <c r="AV96" s="185"/>
      <c r="AW96" s="185"/>
      <c r="AX96" s="185"/>
      <c r="AY96" s="185"/>
      <c r="AZ96" s="185"/>
      <c r="BA96" s="185"/>
      <c r="BB96" s="185"/>
      <c r="BC96" s="185"/>
      <c r="BD96" s="185"/>
      <c r="BE96" s="185"/>
      <c r="BF96" s="185"/>
      <c r="BG96" s="185"/>
      <c r="BH96" s="185"/>
      <c r="BI96" s="185"/>
      <c r="BJ96" s="185"/>
      <c r="BK96" s="185"/>
      <c r="BL96" s="185"/>
      <c r="BM96" s="185"/>
      <c r="BN96" s="185"/>
      <c r="BO96" s="185"/>
      <c r="BP96" s="185"/>
      <c r="BQ96" s="185"/>
      <c r="BR96" s="185"/>
      <c r="BS96" s="185"/>
      <c r="BT96" s="185"/>
      <c r="BU96" s="185"/>
    </row>
    <row r="97" spans="1:73" x14ac:dyDescent="0.25">
      <c r="A97" s="185"/>
      <c r="B97" s="185"/>
      <c r="C97" s="185"/>
      <c r="D97" s="185"/>
      <c r="E97" s="185"/>
      <c r="F97" s="185"/>
      <c r="G97" s="185"/>
      <c r="H97" s="185"/>
      <c r="I97" s="185"/>
      <c r="J97" s="185"/>
      <c r="K97" s="185"/>
      <c r="L97" s="185"/>
      <c r="M97" s="185"/>
      <c r="N97" s="185"/>
      <c r="O97" s="185"/>
      <c r="P97" s="185"/>
      <c r="Q97" s="185"/>
      <c r="R97" s="185"/>
      <c r="S97" s="185"/>
      <c r="T97" s="185"/>
      <c r="U97" s="185"/>
      <c r="V97" s="185"/>
      <c r="W97" s="185"/>
      <c r="X97" s="185"/>
      <c r="Y97" s="185"/>
      <c r="Z97" s="185"/>
      <c r="AA97" s="185"/>
      <c r="AB97" s="185"/>
      <c r="AC97" s="185"/>
      <c r="AD97" s="185"/>
      <c r="AE97" s="185"/>
      <c r="AF97" s="185"/>
      <c r="AG97" s="185"/>
      <c r="AH97" s="185"/>
      <c r="AI97" s="185"/>
      <c r="AJ97" s="185"/>
      <c r="AK97" s="185"/>
      <c r="AL97" s="185"/>
      <c r="AM97" s="185"/>
      <c r="AN97" s="185"/>
      <c r="AO97" s="185"/>
      <c r="AP97" s="185"/>
      <c r="AQ97" s="185"/>
      <c r="AR97" s="185"/>
      <c r="AS97" s="185"/>
      <c r="AT97" s="185"/>
      <c r="AU97" s="185"/>
      <c r="AV97" s="185"/>
      <c r="AW97" s="185"/>
      <c r="AX97" s="185"/>
      <c r="AY97" s="185"/>
      <c r="AZ97" s="185"/>
      <c r="BA97" s="185"/>
      <c r="BB97" s="185"/>
      <c r="BC97" s="185"/>
      <c r="BD97" s="185"/>
      <c r="BE97" s="185"/>
      <c r="BF97" s="185"/>
      <c r="BG97" s="185"/>
      <c r="BH97" s="185"/>
      <c r="BI97" s="185"/>
      <c r="BJ97" s="185"/>
      <c r="BK97" s="185"/>
      <c r="BL97" s="185"/>
      <c r="BM97" s="185"/>
      <c r="BN97" s="185"/>
      <c r="BO97" s="185"/>
      <c r="BP97" s="185"/>
      <c r="BQ97" s="185"/>
      <c r="BR97" s="185"/>
      <c r="BS97" s="185"/>
      <c r="BT97" s="185"/>
      <c r="BU97" s="185"/>
    </row>
    <row r="98" spans="1:73" x14ac:dyDescent="0.25">
      <c r="A98" s="185"/>
      <c r="B98" s="185"/>
      <c r="C98" s="185"/>
      <c r="D98" s="185"/>
      <c r="E98" s="185"/>
      <c r="F98" s="185"/>
      <c r="G98" s="185"/>
      <c r="H98" s="185"/>
      <c r="I98" s="185"/>
      <c r="J98" s="185"/>
      <c r="K98" s="185"/>
      <c r="L98" s="185"/>
      <c r="M98" s="185"/>
      <c r="N98" s="185"/>
      <c r="O98" s="185"/>
      <c r="P98" s="185"/>
      <c r="Q98" s="185"/>
      <c r="R98" s="185"/>
      <c r="S98" s="185"/>
      <c r="T98" s="185"/>
      <c r="U98" s="185"/>
      <c r="V98" s="185"/>
      <c r="W98" s="185"/>
      <c r="X98" s="185"/>
      <c r="Y98" s="185"/>
      <c r="Z98" s="185"/>
      <c r="AA98" s="185"/>
      <c r="AB98" s="185"/>
      <c r="AC98" s="185"/>
      <c r="AD98" s="185"/>
      <c r="AE98" s="185"/>
      <c r="AF98" s="185"/>
      <c r="AG98" s="185"/>
      <c r="AH98" s="185"/>
      <c r="AI98" s="185"/>
      <c r="AJ98" s="185"/>
      <c r="AK98" s="185"/>
      <c r="AL98" s="185"/>
      <c r="AM98" s="185"/>
      <c r="AN98" s="185"/>
      <c r="AO98" s="185"/>
      <c r="AP98" s="185"/>
      <c r="AQ98" s="185"/>
      <c r="AR98" s="185"/>
      <c r="AS98" s="185"/>
      <c r="AT98" s="185"/>
      <c r="AU98" s="185"/>
      <c r="AV98" s="185"/>
      <c r="AW98" s="185"/>
      <c r="AX98" s="185"/>
      <c r="AY98" s="185"/>
      <c r="AZ98" s="185"/>
      <c r="BA98" s="185"/>
      <c r="BB98" s="185"/>
      <c r="BC98" s="185"/>
      <c r="BD98" s="185"/>
      <c r="BE98" s="185"/>
      <c r="BF98" s="185"/>
      <c r="BG98" s="185"/>
      <c r="BH98" s="185"/>
      <c r="BI98" s="185"/>
      <c r="BJ98" s="185"/>
      <c r="BK98" s="185"/>
      <c r="BL98" s="185"/>
      <c r="BM98" s="185"/>
      <c r="BN98" s="185"/>
      <c r="BO98" s="185"/>
      <c r="BP98" s="185"/>
      <c r="BQ98" s="185"/>
      <c r="BR98" s="185"/>
      <c r="BS98" s="185"/>
      <c r="BT98" s="185"/>
      <c r="BU98" s="185"/>
    </row>
    <row r="99" spans="1:73" x14ac:dyDescent="0.25">
      <c r="A99" s="185"/>
      <c r="B99" s="185"/>
      <c r="C99" s="185"/>
      <c r="D99" s="185"/>
      <c r="E99" s="185"/>
      <c r="F99" s="185"/>
      <c r="G99" s="185"/>
      <c r="H99" s="185"/>
      <c r="I99" s="185"/>
      <c r="J99" s="185"/>
      <c r="K99" s="185"/>
      <c r="L99" s="185"/>
      <c r="M99" s="185"/>
      <c r="N99" s="185"/>
      <c r="O99" s="185"/>
      <c r="P99" s="185"/>
      <c r="Q99" s="185"/>
      <c r="R99" s="185"/>
      <c r="S99" s="185"/>
      <c r="T99" s="185"/>
      <c r="U99" s="185"/>
      <c r="V99" s="185"/>
      <c r="W99" s="185"/>
      <c r="X99" s="185"/>
      <c r="Y99" s="185"/>
      <c r="Z99" s="185"/>
      <c r="AA99" s="185"/>
      <c r="AB99" s="185"/>
      <c r="AC99" s="185"/>
      <c r="AD99" s="185"/>
      <c r="AE99" s="185"/>
      <c r="AF99" s="185"/>
      <c r="AG99" s="185"/>
      <c r="AH99" s="185"/>
      <c r="AI99" s="185"/>
      <c r="AJ99" s="185"/>
      <c r="AK99" s="185"/>
      <c r="AL99" s="185"/>
      <c r="AM99" s="185"/>
      <c r="AN99" s="185"/>
      <c r="AO99" s="185"/>
      <c r="AP99" s="185"/>
      <c r="AQ99" s="185"/>
      <c r="AR99" s="185"/>
      <c r="AS99" s="185"/>
      <c r="AT99" s="185"/>
      <c r="AU99" s="185"/>
      <c r="AV99" s="185"/>
      <c r="AW99" s="185"/>
      <c r="AX99" s="185"/>
      <c r="AY99" s="185"/>
      <c r="AZ99" s="185"/>
      <c r="BA99" s="185"/>
      <c r="BB99" s="185"/>
      <c r="BC99" s="185"/>
      <c r="BD99" s="185"/>
      <c r="BE99" s="185"/>
      <c r="BF99" s="185"/>
      <c r="BG99" s="185"/>
      <c r="BH99" s="185"/>
      <c r="BI99" s="185"/>
      <c r="BJ99" s="185"/>
      <c r="BK99" s="185"/>
      <c r="BL99" s="185"/>
      <c r="BM99" s="185"/>
      <c r="BN99" s="185"/>
      <c r="BO99" s="185"/>
      <c r="BP99" s="185"/>
      <c r="BQ99" s="185"/>
      <c r="BR99" s="185"/>
      <c r="BS99" s="185"/>
      <c r="BT99" s="185"/>
      <c r="BU99" s="185"/>
    </row>
    <row r="100" spans="1:73" x14ac:dyDescent="0.25">
      <c r="A100" s="185"/>
      <c r="B100" s="185"/>
      <c r="C100" s="185"/>
      <c r="D100" s="185"/>
      <c r="E100" s="185"/>
      <c r="F100" s="185"/>
      <c r="G100" s="185"/>
      <c r="H100" s="185"/>
      <c r="I100" s="185"/>
      <c r="J100" s="185"/>
      <c r="K100" s="185"/>
      <c r="L100" s="185"/>
      <c r="M100" s="185"/>
      <c r="N100" s="185"/>
      <c r="O100" s="185"/>
      <c r="P100" s="185"/>
      <c r="Q100" s="185"/>
      <c r="R100" s="185"/>
      <c r="S100" s="185"/>
      <c r="T100" s="185"/>
      <c r="U100" s="185"/>
      <c r="V100" s="185"/>
      <c r="W100" s="185"/>
      <c r="X100" s="185"/>
      <c r="Y100" s="185"/>
      <c r="Z100" s="185"/>
      <c r="AA100" s="185"/>
      <c r="AB100" s="185"/>
      <c r="AC100" s="185"/>
      <c r="AD100" s="185"/>
      <c r="AE100" s="185"/>
      <c r="AF100" s="185"/>
      <c r="AG100" s="185"/>
      <c r="AH100" s="185"/>
      <c r="AI100" s="185"/>
      <c r="AJ100" s="185"/>
      <c r="AK100" s="185"/>
      <c r="AL100" s="185"/>
      <c r="AM100" s="185"/>
      <c r="AN100" s="185"/>
      <c r="AO100" s="185"/>
      <c r="AP100" s="185"/>
      <c r="AQ100" s="185"/>
      <c r="AR100" s="185"/>
      <c r="AS100" s="185"/>
      <c r="AT100" s="185"/>
      <c r="AU100" s="185"/>
      <c r="AV100" s="185"/>
      <c r="AW100" s="185"/>
      <c r="AX100" s="185"/>
      <c r="AY100" s="185"/>
      <c r="AZ100" s="185"/>
      <c r="BA100" s="185"/>
      <c r="BB100" s="185"/>
      <c r="BC100" s="185"/>
      <c r="BD100" s="185"/>
      <c r="BE100" s="185"/>
      <c r="BF100" s="185"/>
      <c r="BG100" s="185"/>
      <c r="BH100" s="185"/>
      <c r="BI100" s="185"/>
      <c r="BJ100" s="185"/>
      <c r="BK100" s="185"/>
      <c r="BL100" s="185"/>
      <c r="BM100" s="185"/>
      <c r="BN100" s="185"/>
      <c r="BO100" s="185"/>
      <c r="BP100" s="185"/>
      <c r="BQ100" s="185"/>
      <c r="BR100" s="185"/>
      <c r="BS100" s="185"/>
      <c r="BT100" s="185"/>
      <c r="BU100" s="185"/>
    </row>
    <row r="101" spans="1:73" x14ac:dyDescent="0.25">
      <c r="A101" s="185"/>
      <c r="B101" s="185"/>
      <c r="C101" s="185"/>
      <c r="D101" s="185"/>
      <c r="E101" s="185"/>
      <c r="F101" s="185"/>
      <c r="G101" s="185"/>
      <c r="H101" s="185"/>
      <c r="I101" s="185"/>
      <c r="J101" s="185"/>
      <c r="K101" s="185"/>
      <c r="L101" s="185"/>
      <c r="M101" s="185"/>
      <c r="N101" s="185"/>
      <c r="O101" s="185"/>
      <c r="P101" s="185"/>
      <c r="Q101" s="185"/>
      <c r="R101" s="185"/>
      <c r="S101" s="185"/>
      <c r="T101" s="185"/>
      <c r="U101" s="185"/>
      <c r="V101" s="185"/>
      <c r="W101" s="185"/>
      <c r="X101" s="185"/>
      <c r="Y101" s="185"/>
      <c r="Z101" s="185"/>
      <c r="AA101" s="185"/>
      <c r="AB101" s="185"/>
      <c r="AC101" s="185"/>
      <c r="AD101" s="185"/>
      <c r="AE101" s="185"/>
      <c r="AF101" s="185"/>
      <c r="AG101" s="185"/>
      <c r="AH101" s="185"/>
      <c r="AI101" s="185"/>
      <c r="AJ101" s="185"/>
      <c r="AK101" s="185"/>
      <c r="AL101" s="185"/>
      <c r="AM101" s="185"/>
      <c r="AN101" s="185"/>
      <c r="AO101" s="185"/>
      <c r="AP101" s="185"/>
      <c r="AQ101" s="185"/>
      <c r="AR101" s="185"/>
      <c r="AS101" s="185"/>
      <c r="AT101" s="185"/>
      <c r="AU101" s="185"/>
      <c r="AV101" s="185"/>
      <c r="AW101" s="185"/>
      <c r="AX101" s="185"/>
      <c r="AY101" s="185"/>
      <c r="AZ101" s="185"/>
      <c r="BA101" s="185"/>
      <c r="BB101" s="185"/>
      <c r="BC101" s="185"/>
      <c r="BD101" s="185"/>
      <c r="BE101" s="185"/>
      <c r="BF101" s="185"/>
      <c r="BG101" s="185"/>
      <c r="BH101" s="185"/>
      <c r="BI101" s="185"/>
      <c r="BJ101" s="185"/>
      <c r="BK101" s="185"/>
      <c r="BL101" s="185"/>
      <c r="BM101" s="185"/>
      <c r="BN101" s="185"/>
      <c r="BO101" s="185"/>
      <c r="BP101" s="185"/>
      <c r="BQ101" s="185"/>
      <c r="BR101" s="185"/>
      <c r="BS101" s="185"/>
      <c r="BT101" s="185"/>
      <c r="BU101" s="185"/>
    </row>
    <row r="102" spans="1:73" x14ac:dyDescent="0.25">
      <c r="A102" s="185"/>
      <c r="B102" s="185"/>
      <c r="C102" s="185"/>
      <c r="D102" s="185"/>
      <c r="E102" s="185"/>
      <c r="F102" s="185"/>
      <c r="G102" s="185"/>
      <c r="H102" s="185"/>
      <c r="I102" s="185"/>
      <c r="J102" s="185"/>
      <c r="K102" s="185"/>
      <c r="L102" s="185"/>
      <c r="M102" s="185"/>
      <c r="N102" s="185"/>
      <c r="O102" s="185"/>
      <c r="P102" s="185"/>
      <c r="Q102" s="185"/>
      <c r="R102" s="185"/>
      <c r="S102" s="185"/>
      <c r="T102" s="185"/>
      <c r="U102" s="185"/>
      <c r="V102" s="185"/>
      <c r="W102" s="185"/>
      <c r="X102" s="185"/>
      <c r="Y102" s="185"/>
      <c r="Z102" s="185"/>
      <c r="AA102" s="185"/>
      <c r="AB102" s="185"/>
      <c r="AC102" s="185"/>
      <c r="AD102" s="185"/>
      <c r="AE102" s="185"/>
      <c r="AF102" s="185"/>
      <c r="AG102" s="185"/>
      <c r="AH102" s="185"/>
      <c r="AI102" s="185"/>
      <c r="AJ102" s="185"/>
      <c r="AK102" s="185"/>
      <c r="AL102" s="185"/>
      <c r="AM102" s="185"/>
      <c r="AN102" s="185"/>
      <c r="AO102" s="185"/>
      <c r="AP102" s="185"/>
      <c r="AQ102" s="185"/>
      <c r="AR102" s="185"/>
      <c r="AS102" s="185"/>
      <c r="AT102" s="185"/>
      <c r="AU102" s="185"/>
      <c r="AV102" s="185"/>
      <c r="AW102" s="185"/>
      <c r="AX102" s="185"/>
      <c r="AY102" s="185"/>
      <c r="AZ102" s="185"/>
      <c r="BA102" s="185"/>
      <c r="BB102" s="185"/>
      <c r="BC102" s="185"/>
      <c r="BD102" s="185"/>
      <c r="BE102" s="185"/>
      <c r="BF102" s="185"/>
      <c r="BG102" s="185"/>
      <c r="BH102" s="185"/>
      <c r="BI102" s="185"/>
      <c r="BJ102" s="185"/>
      <c r="BK102" s="185"/>
      <c r="BL102" s="185"/>
      <c r="BM102" s="185"/>
      <c r="BN102" s="185"/>
      <c r="BO102" s="185"/>
      <c r="BP102" s="185"/>
      <c r="BQ102" s="185"/>
      <c r="BR102" s="185"/>
      <c r="BS102" s="185"/>
      <c r="BT102" s="185"/>
      <c r="BU102" s="185"/>
    </row>
    <row r="103" spans="1:73" x14ac:dyDescent="0.25">
      <c r="A103" s="185"/>
      <c r="B103" s="185"/>
      <c r="C103" s="185"/>
      <c r="D103" s="185"/>
      <c r="E103" s="185"/>
      <c r="F103" s="185"/>
      <c r="G103" s="185"/>
      <c r="H103" s="185"/>
      <c r="I103" s="185"/>
      <c r="J103" s="185"/>
      <c r="K103" s="185"/>
      <c r="L103" s="185"/>
      <c r="M103" s="185"/>
      <c r="N103" s="185"/>
      <c r="O103" s="185"/>
      <c r="P103" s="185"/>
      <c r="Q103" s="185"/>
      <c r="R103" s="185"/>
      <c r="S103" s="185"/>
      <c r="T103" s="185"/>
      <c r="U103" s="185"/>
      <c r="V103" s="185"/>
      <c r="W103" s="185"/>
      <c r="X103" s="185"/>
      <c r="Y103" s="185"/>
      <c r="Z103" s="185"/>
      <c r="AA103" s="185"/>
      <c r="AB103" s="185"/>
      <c r="AC103" s="185"/>
      <c r="AD103" s="185"/>
      <c r="AE103" s="185"/>
      <c r="AF103" s="185"/>
      <c r="AG103" s="185"/>
      <c r="AH103" s="185"/>
      <c r="AI103" s="185"/>
      <c r="AJ103" s="185"/>
      <c r="AK103" s="185"/>
      <c r="AL103" s="185"/>
      <c r="AM103" s="185"/>
      <c r="AN103" s="185"/>
      <c r="AO103" s="185"/>
      <c r="AP103" s="185"/>
      <c r="AQ103" s="185"/>
      <c r="AR103" s="185"/>
      <c r="AS103" s="185"/>
      <c r="AT103" s="185"/>
      <c r="AU103" s="185"/>
      <c r="AV103" s="185"/>
      <c r="AW103" s="185"/>
      <c r="AX103" s="185"/>
      <c r="AY103" s="185"/>
      <c r="AZ103" s="185"/>
      <c r="BA103" s="185"/>
      <c r="BB103" s="185"/>
      <c r="BC103" s="185"/>
      <c r="BD103" s="185"/>
      <c r="BE103" s="185"/>
      <c r="BF103" s="185"/>
      <c r="BG103" s="185"/>
      <c r="BH103" s="185"/>
      <c r="BI103" s="185"/>
      <c r="BJ103" s="185"/>
      <c r="BK103" s="185"/>
      <c r="BL103" s="185"/>
      <c r="BM103" s="185"/>
      <c r="BN103" s="185"/>
      <c r="BO103" s="185"/>
      <c r="BP103" s="185"/>
      <c r="BQ103" s="185"/>
      <c r="BR103" s="185"/>
      <c r="BS103" s="185"/>
      <c r="BT103" s="185"/>
      <c r="BU103" s="185"/>
    </row>
    <row r="104" spans="1:73" x14ac:dyDescent="0.25">
      <c r="A104" s="185"/>
      <c r="B104" s="185"/>
      <c r="C104" s="185"/>
      <c r="D104" s="185"/>
      <c r="E104" s="185"/>
      <c r="F104" s="185"/>
      <c r="G104" s="185"/>
      <c r="H104" s="185"/>
      <c r="I104" s="185"/>
      <c r="J104" s="185"/>
      <c r="K104" s="185"/>
      <c r="L104" s="185"/>
      <c r="M104" s="185"/>
      <c r="N104" s="185"/>
      <c r="O104" s="185"/>
      <c r="P104" s="185"/>
      <c r="Q104" s="185"/>
      <c r="R104" s="185"/>
      <c r="S104" s="185"/>
      <c r="T104" s="185"/>
      <c r="U104" s="185"/>
      <c r="V104" s="185"/>
      <c r="W104" s="185"/>
      <c r="X104" s="185"/>
      <c r="Y104" s="185"/>
      <c r="Z104" s="185"/>
      <c r="AA104" s="185"/>
      <c r="AB104" s="185"/>
      <c r="AC104" s="185"/>
      <c r="AD104" s="185"/>
      <c r="AE104" s="185"/>
      <c r="AF104" s="185"/>
      <c r="AG104" s="185"/>
      <c r="AH104" s="185"/>
      <c r="AI104" s="185"/>
      <c r="AJ104" s="185"/>
      <c r="AK104" s="185"/>
      <c r="AL104" s="185"/>
      <c r="AM104" s="185"/>
      <c r="AN104" s="185"/>
      <c r="AO104" s="185"/>
      <c r="AP104" s="185"/>
      <c r="AQ104" s="185"/>
      <c r="AR104" s="185"/>
      <c r="AS104" s="185"/>
      <c r="AT104" s="185"/>
      <c r="AU104" s="185"/>
      <c r="AV104" s="185"/>
      <c r="AW104" s="185"/>
      <c r="AX104" s="185"/>
      <c r="AY104" s="185"/>
      <c r="AZ104" s="185"/>
      <c r="BA104" s="185"/>
      <c r="BB104" s="185"/>
      <c r="BC104" s="185"/>
      <c r="BD104" s="185"/>
      <c r="BE104" s="185"/>
      <c r="BF104" s="185"/>
      <c r="BG104" s="185"/>
      <c r="BH104" s="185"/>
      <c r="BI104" s="185"/>
      <c r="BJ104" s="185"/>
      <c r="BK104" s="185"/>
      <c r="BL104" s="185"/>
      <c r="BM104" s="185"/>
      <c r="BN104" s="185"/>
      <c r="BO104" s="185"/>
      <c r="BP104" s="185"/>
      <c r="BQ104" s="185"/>
      <c r="BR104" s="185"/>
      <c r="BS104" s="185"/>
      <c r="BT104" s="185"/>
      <c r="BU104" s="185"/>
    </row>
    <row r="105" spans="1:73" x14ac:dyDescent="0.25">
      <c r="A105" s="185"/>
      <c r="B105" s="185"/>
      <c r="C105" s="185"/>
      <c r="D105" s="185"/>
      <c r="E105" s="185"/>
      <c r="F105" s="185"/>
      <c r="G105" s="185"/>
      <c r="H105" s="185"/>
      <c r="I105" s="185"/>
      <c r="J105" s="185"/>
      <c r="K105" s="185"/>
      <c r="L105" s="185"/>
      <c r="M105" s="185"/>
      <c r="N105" s="185"/>
      <c r="O105" s="185"/>
      <c r="P105" s="185"/>
      <c r="Q105" s="185"/>
      <c r="R105" s="185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185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185"/>
      <c r="AV105" s="185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185"/>
      <c r="BK105" s="185"/>
      <c r="BL105" s="185"/>
      <c r="BM105" s="185"/>
      <c r="BN105" s="185"/>
      <c r="BO105" s="185"/>
      <c r="BP105" s="185"/>
      <c r="BQ105" s="185"/>
      <c r="BR105" s="185"/>
      <c r="BS105" s="185"/>
      <c r="BT105" s="185"/>
      <c r="BU105" s="185"/>
    </row>
    <row r="106" spans="1:73" x14ac:dyDescent="0.25">
      <c r="A106" s="185"/>
      <c r="B106" s="185"/>
      <c r="C106" s="185"/>
      <c r="D106" s="185"/>
      <c r="E106" s="185"/>
      <c r="F106" s="185"/>
      <c r="G106" s="185"/>
      <c r="H106" s="185"/>
      <c r="I106" s="185"/>
      <c r="J106" s="185"/>
      <c r="K106" s="185"/>
      <c r="L106" s="185"/>
      <c r="M106" s="185"/>
      <c r="N106" s="185"/>
      <c r="O106" s="185"/>
      <c r="P106" s="185"/>
      <c r="Q106" s="185"/>
      <c r="R106" s="185"/>
      <c r="S106" s="185"/>
      <c r="T106" s="185"/>
      <c r="U106" s="185"/>
      <c r="V106" s="185"/>
      <c r="W106" s="185"/>
      <c r="X106" s="185"/>
      <c r="Y106" s="185"/>
      <c r="Z106" s="185"/>
      <c r="AA106" s="185"/>
      <c r="AB106" s="185"/>
      <c r="AC106" s="185"/>
      <c r="AD106" s="185"/>
      <c r="AE106" s="185"/>
      <c r="AF106" s="185"/>
      <c r="AG106" s="185"/>
      <c r="AH106" s="185"/>
      <c r="AI106" s="185"/>
      <c r="AJ106" s="185"/>
      <c r="AK106" s="185"/>
      <c r="AL106" s="185"/>
      <c r="AM106" s="185"/>
      <c r="AN106" s="185"/>
      <c r="AO106" s="185"/>
      <c r="AP106" s="185"/>
      <c r="AQ106" s="185"/>
      <c r="AR106" s="185"/>
      <c r="AS106" s="185"/>
      <c r="AT106" s="185"/>
      <c r="AU106" s="185"/>
      <c r="AV106" s="185"/>
      <c r="AW106" s="185"/>
      <c r="AX106" s="185"/>
      <c r="AY106" s="185"/>
      <c r="AZ106" s="185"/>
      <c r="BA106" s="185"/>
      <c r="BB106" s="185"/>
      <c r="BC106" s="185"/>
      <c r="BD106" s="185"/>
      <c r="BE106" s="185"/>
      <c r="BF106" s="185"/>
      <c r="BG106" s="185"/>
      <c r="BH106" s="185"/>
      <c r="BI106" s="185"/>
      <c r="BJ106" s="185"/>
      <c r="BK106" s="185"/>
      <c r="BL106" s="185"/>
      <c r="BM106" s="185"/>
      <c r="BN106" s="185"/>
      <c r="BO106" s="185"/>
      <c r="BP106" s="185"/>
      <c r="BQ106" s="185"/>
      <c r="BR106" s="185"/>
      <c r="BS106" s="185"/>
      <c r="BT106" s="185"/>
      <c r="BU106" s="185"/>
    </row>
    <row r="107" spans="1:73" x14ac:dyDescent="0.25">
      <c r="A107" s="185"/>
      <c r="B107" s="185"/>
      <c r="C107" s="185"/>
      <c r="D107" s="185"/>
      <c r="E107" s="185"/>
      <c r="F107" s="185"/>
      <c r="G107" s="185"/>
      <c r="H107" s="185"/>
      <c r="I107" s="185"/>
      <c r="J107" s="185"/>
      <c r="K107" s="185"/>
      <c r="L107" s="185"/>
      <c r="M107" s="185"/>
      <c r="N107" s="185"/>
      <c r="O107" s="185"/>
      <c r="P107" s="185"/>
      <c r="Q107" s="185"/>
      <c r="R107" s="185"/>
      <c r="S107" s="185"/>
      <c r="T107" s="185"/>
      <c r="U107" s="185"/>
      <c r="V107" s="185"/>
      <c r="W107" s="185"/>
      <c r="X107" s="185"/>
      <c r="Y107" s="185"/>
      <c r="Z107" s="185"/>
      <c r="AA107" s="185"/>
      <c r="AB107" s="185"/>
      <c r="AC107" s="185"/>
      <c r="AD107" s="185"/>
      <c r="AE107" s="185"/>
      <c r="AF107" s="185"/>
      <c r="AG107" s="185"/>
      <c r="AH107" s="185"/>
      <c r="AI107" s="185"/>
      <c r="AJ107" s="185"/>
      <c r="AK107" s="185"/>
      <c r="AL107" s="185"/>
      <c r="AM107" s="185"/>
      <c r="AN107" s="185"/>
      <c r="AO107" s="185"/>
      <c r="AP107" s="185"/>
      <c r="AQ107" s="185"/>
      <c r="AR107" s="185"/>
      <c r="AS107" s="185"/>
      <c r="AT107" s="185"/>
      <c r="AU107" s="185"/>
      <c r="AV107" s="185"/>
      <c r="AW107" s="185"/>
      <c r="AX107" s="185"/>
      <c r="AY107" s="185"/>
      <c r="AZ107" s="185"/>
      <c r="BA107" s="185"/>
      <c r="BB107" s="185"/>
      <c r="BC107" s="185"/>
      <c r="BD107" s="185"/>
      <c r="BE107" s="185"/>
      <c r="BF107" s="185"/>
      <c r="BG107" s="185"/>
      <c r="BH107" s="185"/>
      <c r="BI107" s="185"/>
      <c r="BJ107" s="185"/>
      <c r="BK107" s="185"/>
      <c r="BL107" s="185"/>
      <c r="BM107" s="185"/>
      <c r="BN107" s="185"/>
      <c r="BO107" s="185"/>
      <c r="BP107" s="185"/>
      <c r="BQ107" s="185"/>
      <c r="BR107" s="185"/>
      <c r="BS107" s="185"/>
      <c r="BT107" s="185"/>
      <c r="BU107" s="185"/>
    </row>
    <row r="108" spans="1:73" x14ac:dyDescent="0.25">
      <c r="A108" s="185"/>
      <c r="B108" s="185"/>
      <c r="C108" s="185"/>
      <c r="D108" s="185"/>
      <c r="E108" s="185"/>
      <c r="F108" s="185"/>
      <c r="G108" s="185"/>
      <c r="H108" s="185"/>
      <c r="I108" s="185"/>
      <c r="J108" s="185"/>
      <c r="K108" s="185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5"/>
      <c r="Y108" s="185"/>
      <c r="Z108" s="185"/>
      <c r="AA108" s="185"/>
      <c r="AB108" s="185"/>
      <c r="AC108" s="185"/>
      <c r="AD108" s="185"/>
      <c r="AE108" s="185"/>
      <c r="AF108" s="185"/>
      <c r="AG108" s="185"/>
      <c r="AH108" s="185"/>
      <c r="AI108" s="185"/>
      <c r="AJ108" s="185"/>
      <c r="AK108" s="185"/>
      <c r="AL108" s="185"/>
      <c r="AM108" s="185"/>
      <c r="AN108" s="185"/>
      <c r="AO108" s="185"/>
      <c r="AP108" s="185"/>
      <c r="AQ108" s="185"/>
      <c r="AR108" s="185"/>
      <c r="AS108" s="185"/>
      <c r="AT108" s="185"/>
      <c r="AU108" s="185"/>
      <c r="AV108" s="185"/>
      <c r="AW108" s="185"/>
      <c r="AX108" s="185"/>
      <c r="AY108" s="185"/>
      <c r="AZ108" s="185"/>
      <c r="BA108" s="185"/>
      <c r="BB108" s="185"/>
      <c r="BC108" s="185"/>
      <c r="BD108" s="185"/>
      <c r="BE108" s="185"/>
      <c r="BF108" s="185"/>
      <c r="BG108" s="185"/>
      <c r="BH108" s="185"/>
      <c r="BI108" s="185"/>
      <c r="BJ108" s="185"/>
      <c r="BK108" s="185"/>
      <c r="BL108" s="185"/>
      <c r="BM108" s="185"/>
      <c r="BN108" s="185"/>
      <c r="BO108" s="185"/>
      <c r="BP108" s="185"/>
      <c r="BQ108" s="185"/>
      <c r="BR108" s="185"/>
      <c r="BS108" s="185"/>
      <c r="BT108" s="185"/>
      <c r="BU108" s="185"/>
    </row>
  </sheetData>
  <sheetProtection algorithmName="SHA-512" hashValue="vreTAQixwpsTY7tmP895fLGxgpgbANtzeVBvzauRVYUK88rXkVsIHal0UShR3I1YUt8FqcKsyFIeqFXNjUzrYQ==" saltValue="U0oFtbfM82v6s9KdtnBXoQ==" spinCount="100000" sheet="1" objects="1" scenarios="1"/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0" tint="-0.249977111117893"/>
  </sheetPr>
  <dimension ref="A1:BM71"/>
  <sheetViews>
    <sheetView showGridLines="0" zoomScale="80" zoomScaleNormal="80" workbookViewId="0">
      <pane xSplit="6" ySplit="12" topLeftCell="G13" activePane="bottomRight" state="frozen"/>
      <selection pane="topRight" activeCell="G1" sqref="G1"/>
      <selection pane="bottomLeft" activeCell="A13" sqref="A13"/>
      <selection pane="bottomRight" activeCell="AS1" sqref="AS1"/>
    </sheetView>
  </sheetViews>
  <sheetFormatPr defaultRowHeight="15" x14ac:dyDescent="0.25"/>
  <cols>
    <col min="1" max="1" width="4.5703125" customWidth="1"/>
    <col min="2" max="2" width="5.28515625" customWidth="1"/>
    <col min="3" max="3" width="20.7109375" customWidth="1"/>
    <col min="4" max="4" width="46.140625" customWidth="1"/>
    <col min="5" max="5" width="12.7109375" customWidth="1"/>
    <col min="6" max="6" width="11.5703125" customWidth="1"/>
    <col min="13" max="13" width="11.85546875" customWidth="1"/>
    <col min="15" max="15" width="13.5703125" customWidth="1"/>
    <col min="16" max="16" width="9.28515625" customWidth="1"/>
    <col min="17" max="17" width="6.7109375" customWidth="1"/>
    <col min="18" max="18" width="7.7109375" customWidth="1"/>
    <col min="19" max="19" width="6.7109375" customWidth="1"/>
    <col min="20" max="20" width="6.85546875" customWidth="1"/>
    <col min="21" max="22" width="6.7109375" customWidth="1"/>
    <col min="23" max="23" width="12.140625" customWidth="1"/>
    <col min="24" max="24" width="7.140625" customWidth="1"/>
    <col min="25" max="25" width="7" customWidth="1"/>
    <col min="26" max="26" width="8.140625" customWidth="1"/>
    <col min="27" max="27" width="8" customWidth="1"/>
    <col min="28" max="28" width="8.140625" customWidth="1"/>
    <col min="29" max="29" width="8" customWidth="1"/>
    <col min="30" max="30" width="8.28515625" customWidth="1"/>
    <col min="32" max="32" width="12.5703125" customWidth="1"/>
    <col min="39" max="39" width="6.28515625" customWidth="1"/>
    <col min="40" max="40" width="16.5703125" customWidth="1"/>
    <col min="41" max="41" width="6.5703125" customWidth="1"/>
    <col min="42" max="42" width="11.7109375" customWidth="1"/>
    <col min="43" max="43" width="9.7109375" customWidth="1"/>
    <col min="44" max="44" width="10" customWidth="1"/>
    <col min="45" max="45" width="6.85546875" customWidth="1"/>
  </cols>
  <sheetData>
    <row r="1" spans="1:65" ht="22.5" customHeight="1" x14ac:dyDescent="0.3">
      <c r="A1" s="21"/>
      <c r="B1" s="21"/>
      <c r="C1" s="39" t="str">
        <f>Choices!$C$1</f>
        <v>Angelus Block Carbon Calculator</v>
      </c>
      <c r="D1" s="21"/>
      <c r="E1" s="21"/>
      <c r="F1" s="96" t="str">
        <f>ver</f>
        <v>ver 1.9</v>
      </c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96" t="str">
        <f>ver</f>
        <v>ver 1.9</v>
      </c>
      <c r="AT1" s="185"/>
      <c r="AU1" s="185"/>
      <c r="AV1" s="185"/>
      <c r="AW1" s="185"/>
      <c r="AX1" s="185"/>
      <c r="AY1" s="185"/>
      <c r="AZ1" s="185"/>
      <c r="BA1" s="185"/>
      <c r="BB1" s="185"/>
      <c r="BC1" s="185"/>
      <c r="BD1" s="185"/>
      <c r="BE1" s="185"/>
      <c r="BF1" s="185"/>
      <c r="BG1" s="185"/>
      <c r="BH1" s="185"/>
      <c r="BI1" s="185"/>
      <c r="BJ1" s="185"/>
      <c r="BK1" s="185"/>
      <c r="BL1" s="185"/>
      <c r="BM1" s="185"/>
    </row>
    <row r="2" spans="1:65" ht="26.25" x14ac:dyDescent="0.4">
      <c r="A2" s="21"/>
      <c r="B2" s="21"/>
      <c r="C2" s="166" t="s">
        <v>80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21"/>
      <c r="AO2" s="21"/>
      <c r="AP2" s="21"/>
      <c r="AQ2" s="21"/>
      <c r="AR2" s="21"/>
      <c r="AS2" s="21"/>
      <c r="AT2" s="185"/>
      <c r="AU2" s="185"/>
      <c r="AV2" s="185"/>
      <c r="AW2" s="185"/>
      <c r="AX2" s="185"/>
      <c r="AY2" s="185"/>
      <c r="AZ2" s="185"/>
      <c r="BA2" s="185"/>
      <c r="BB2" s="185"/>
      <c r="BC2" s="185"/>
      <c r="BD2" s="185"/>
      <c r="BE2" s="185"/>
      <c r="BF2" s="185"/>
      <c r="BG2" s="185"/>
      <c r="BH2" s="185"/>
      <c r="BI2" s="185"/>
      <c r="BJ2" s="185"/>
      <c r="BK2" s="185"/>
      <c r="BL2" s="185"/>
      <c r="BM2" s="185"/>
    </row>
    <row r="3" spans="1:65" ht="18.75" x14ac:dyDescent="0.3">
      <c r="A3" s="21"/>
      <c r="B3" s="21"/>
      <c r="C3" s="43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33"/>
      <c r="AD3" s="33"/>
      <c r="AE3" s="33"/>
      <c r="AF3" s="21"/>
      <c r="AG3" s="22" t="s">
        <v>114</v>
      </c>
      <c r="AH3" s="22" t="s">
        <v>114</v>
      </c>
      <c r="AI3" s="22" t="s">
        <v>114</v>
      </c>
      <c r="AJ3" s="22" t="s">
        <v>113</v>
      </c>
      <c r="AK3" s="22" t="s">
        <v>113</v>
      </c>
      <c r="AL3" s="22" t="s">
        <v>113</v>
      </c>
      <c r="AM3" s="21"/>
      <c r="AN3" s="9"/>
      <c r="AO3" s="9"/>
      <c r="AP3" s="10" t="s">
        <v>22</v>
      </c>
      <c r="AQ3" s="11" t="s">
        <v>32</v>
      </c>
      <c r="AR3" s="11"/>
      <c r="AS3" s="33"/>
      <c r="AT3" s="185"/>
      <c r="AU3" s="185"/>
      <c r="AV3" s="185"/>
      <c r="AW3" s="185"/>
      <c r="AX3" s="185"/>
      <c r="AY3" s="185"/>
      <c r="AZ3" s="185"/>
      <c r="BA3" s="185"/>
      <c r="BB3" s="185"/>
      <c r="BC3" s="185"/>
      <c r="BD3" s="185"/>
      <c r="BE3" s="185"/>
      <c r="BF3" s="185"/>
      <c r="BG3" s="185"/>
      <c r="BH3" s="185"/>
      <c r="BI3" s="185"/>
      <c r="BJ3" s="185"/>
      <c r="BK3" s="185"/>
      <c r="BL3" s="185"/>
      <c r="BM3" s="185"/>
    </row>
    <row r="4" spans="1:65" ht="18" x14ac:dyDescent="0.35">
      <c r="A4" s="21"/>
      <c r="B4" s="21"/>
      <c r="C4" s="27">
        <f>C6*SquareMetres</f>
        <v>92743.535438332416</v>
      </c>
      <c r="D4" s="21" t="s">
        <v>44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33"/>
      <c r="AD4" s="33"/>
      <c r="AE4" s="33"/>
      <c r="AF4" s="41" t="s">
        <v>38</v>
      </c>
      <c r="AG4" s="134">
        <v>200</v>
      </c>
      <c r="AH4" s="135">
        <v>250</v>
      </c>
      <c r="AI4" s="135">
        <v>300</v>
      </c>
      <c r="AJ4" s="135">
        <v>200</v>
      </c>
      <c r="AK4" s="135">
        <v>250</v>
      </c>
      <c r="AL4" s="136">
        <v>300</v>
      </c>
      <c r="AM4" s="32" t="s">
        <v>2</v>
      </c>
      <c r="AN4" s="33"/>
      <c r="AO4" s="41" t="s">
        <v>23</v>
      </c>
      <c r="AP4" s="74">
        <v>0.2</v>
      </c>
      <c r="AQ4" s="75">
        <v>0.19</v>
      </c>
      <c r="AR4" s="33" t="s">
        <v>20</v>
      </c>
      <c r="AS4" s="33"/>
      <c r="AT4" s="185"/>
      <c r="AU4" s="185"/>
      <c r="AV4" s="185"/>
      <c r="AW4" s="185"/>
      <c r="AX4" s="185"/>
      <c r="AY4" s="185"/>
      <c r="AZ4" s="185"/>
      <c r="BA4" s="185"/>
      <c r="BB4" s="185"/>
      <c r="BC4" s="185"/>
      <c r="BD4" s="185"/>
      <c r="BE4" s="185"/>
      <c r="BF4" s="185"/>
      <c r="BG4" s="185"/>
      <c r="BH4" s="185"/>
      <c r="BI4" s="185"/>
      <c r="BJ4" s="185"/>
      <c r="BK4" s="185"/>
      <c r="BL4" s="185"/>
      <c r="BM4" s="185"/>
    </row>
    <row r="5" spans="1:65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33"/>
      <c r="AD5" s="33"/>
      <c r="AE5" s="33"/>
      <c r="AF5" s="41" t="s">
        <v>28</v>
      </c>
      <c r="AG5" s="133">
        <v>51</v>
      </c>
      <c r="AH5" s="133">
        <v>48.68</v>
      </c>
      <c r="AI5" s="133">
        <v>45.21</v>
      </c>
      <c r="AJ5" s="133">
        <v>46.14</v>
      </c>
      <c r="AK5" s="133">
        <v>43.1</v>
      </c>
      <c r="AL5" s="133">
        <v>37.36</v>
      </c>
      <c r="AM5" s="33" t="s">
        <v>16</v>
      </c>
      <c r="AN5" s="33"/>
      <c r="AO5" s="41" t="s">
        <v>24</v>
      </c>
      <c r="AP5" s="74">
        <v>0.4</v>
      </c>
      <c r="AQ5" s="75">
        <v>0.39</v>
      </c>
      <c r="AR5" s="33" t="s">
        <v>20</v>
      </c>
      <c r="AS5" s="33"/>
      <c r="AT5" s="185"/>
      <c r="AU5" s="185"/>
      <c r="AV5" s="185"/>
      <c r="AW5" s="185"/>
      <c r="AX5" s="185"/>
      <c r="AY5" s="185"/>
      <c r="AZ5" s="185"/>
      <c r="BA5" s="185"/>
      <c r="BB5" s="185"/>
      <c r="BC5" s="185"/>
      <c r="BD5" s="185"/>
      <c r="BE5" s="185"/>
      <c r="BF5" s="185"/>
      <c r="BG5" s="185"/>
      <c r="BH5" s="185"/>
      <c r="BI5" s="185"/>
      <c r="BJ5" s="185"/>
      <c r="BK5" s="185"/>
      <c r="BL5" s="185"/>
      <c r="BM5" s="185"/>
    </row>
    <row r="6" spans="1:65" ht="18.75" x14ac:dyDescent="0.35">
      <c r="A6" s="21"/>
      <c r="B6" s="21"/>
      <c r="C6" s="27">
        <f>SUM(F14:F40)</f>
        <v>92.742204157611638</v>
      </c>
      <c r="D6" s="21" t="s">
        <v>50</v>
      </c>
      <c r="E6" s="21"/>
      <c r="F6" s="21"/>
      <c r="G6" s="22" t="s">
        <v>114</v>
      </c>
      <c r="H6" s="22" t="s">
        <v>114</v>
      </c>
      <c r="I6" s="22" t="s">
        <v>114</v>
      </c>
      <c r="J6" s="22" t="s">
        <v>113</v>
      </c>
      <c r="K6" s="22" t="s">
        <v>113</v>
      </c>
      <c r="L6" s="22" t="s">
        <v>113</v>
      </c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33"/>
      <c r="AD6" s="33"/>
      <c r="AE6" s="33"/>
      <c r="AF6" s="41" t="s">
        <v>29</v>
      </c>
      <c r="AG6" s="123">
        <f t="shared" ref="AG6:AL6" si="0">AG9*(1-AG5/100)</f>
        <v>6.8987099999999997E-3</v>
      </c>
      <c r="AH6" s="123">
        <f t="shared" si="0"/>
        <v>9.126748799999999E-3</v>
      </c>
      <c r="AI6" s="123">
        <f t="shared" si="0"/>
        <v>1.1773823100000001E-2</v>
      </c>
      <c r="AJ6" s="123">
        <f t="shared" si="0"/>
        <v>7.5829493999999996E-3</v>
      </c>
      <c r="AK6" s="123">
        <f t="shared" si="0"/>
        <v>1.0119095999999998E-2</v>
      </c>
      <c r="AL6" s="123">
        <f t="shared" si="0"/>
        <v>1.3460709600000001E-2</v>
      </c>
      <c r="AM6" s="33" t="s">
        <v>71</v>
      </c>
      <c r="AN6" s="33"/>
      <c r="AO6" s="41" t="s">
        <v>35</v>
      </c>
      <c r="AP6" s="76">
        <v>0.19</v>
      </c>
      <c r="AQ6" s="75">
        <v>0.19</v>
      </c>
      <c r="AR6" s="33" t="s">
        <v>20</v>
      </c>
      <c r="AS6" s="33"/>
      <c r="AT6" s="185"/>
      <c r="AU6" s="185"/>
      <c r="AV6" s="185"/>
      <c r="AW6" s="185"/>
      <c r="AX6" s="185"/>
      <c r="AY6" s="185"/>
      <c r="AZ6" s="185"/>
      <c r="BA6" s="185"/>
      <c r="BB6" s="185"/>
      <c r="BC6" s="185"/>
      <c r="BD6" s="185"/>
      <c r="BE6" s="185"/>
      <c r="BF6" s="185"/>
      <c r="BG6" s="185"/>
      <c r="BH6" s="185"/>
      <c r="BI6" s="185"/>
      <c r="BJ6" s="185"/>
      <c r="BK6" s="185"/>
      <c r="BL6" s="185"/>
      <c r="BM6" s="185"/>
    </row>
    <row r="7" spans="1:65" ht="17.25" customHeight="1" x14ac:dyDescent="0.25">
      <c r="A7" s="21"/>
      <c r="B7" s="21"/>
      <c r="C7" s="21"/>
      <c r="D7" s="21"/>
      <c r="E7" s="21"/>
      <c r="F7" s="21"/>
      <c r="G7" s="38" t="s">
        <v>7</v>
      </c>
      <c r="H7" s="38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305" t="s">
        <v>31</v>
      </c>
      <c r="AA7" s="305"/>
      <c r="AB7" s="305"/>
      <c r="AC7" s="305"/>
      <c r="AD7" s="305"/>
      <c r="AE7" s="305"/>
      <c r="AF7" s="306"/>
      <c r="AG7" s="71">
        <v>2250</v>
      </c>
      <c r="AH7" s="71">
        <v>2250</v>
      </c>
      <c r="AI7" s="71">
        <v>2250</v>
      </c>
      <c r="AJ7" s="71">
        <v>2250</v>
      </c>
      <c r="AK7" s="71">
        <v>2250</v>
      </c>
      <c r="AL7" s="71">
        <v>2250</v>
      </c>
      <c r="AM7" s="66" t="s">
        <v>72</v>
      </c>
      <c r="AN7" s="33"/>
      <c r="AO7" s="41" t="s">
        <v>51</v>
      </c>
      <c r="AP7" s="76">
        <v>0.24</v>
      </c>
      <c r="AQ7" s="75">
        <v>0.24</v>
      </c>
      <c r="AR7" s="33" t="s">
        <v>20</v>
      </c>
      <c r="AS7" s="33"/>
      <c r="AT7" s="185"/>
      <c r="AU7" s="185"/>
      <c r="AV7" s="185"/>
      <c r="AW7" s="185"/>
      <c r="AX7" s="185"/>
      <c r="AY7" s="185"/>
      <c r="AZ7" s="185"/>
      <c r="BA7" s="185"/>
      <c r="BB7" s="185"/>
      <c r="BC7" s="185"/>
      <c r="BD7" s="185"/>
      <c r="BE7" s="185"/>
      <c r="BF7" s="185"/>
      <c r="BG7" s="185"/>
      <c r="BH7" s="185"/>
      <c r="BI7" s="185"/>
      <c r="BJ7" s="185"/>
      <c r="BK7" s="185"/>
      <c r="BL7" s="185"/>
      <c r="BM7" s="185"/>
    </row>
    <row r="8" spans="1:65" ht="17.25" x14ac:dyDescent="0.25">
      <c r="A8" s="21"/>
      <c r="B8" s="21"/>
      <c r="C8" s="21"/>
      <c r="D8" s="21"/>
      <c r="E8" s="21"/>
      <c r="F8" s="140">
        <f>IF(D15=1,Choices!D16,Choices!D16+3)</f>
        <v>4</v>
      </c>
      <c r="G8" s="22">
        <v>1</v>
      </c>
      <c r="H8" s="22">
        <v>2</v>
      </c>
      <c r="I8" s="22">
        <v>3</v>
      </c>
      <c r="J8" s="22">
        <v>4</v>
      </c>
      <c r="K8" s="22">
        <v>5</v>
      </c>
      <c r="L8" s="22">
        <v>6</v>
      </c>
      <c r="M8" s="21"/>
      <c r="N8" s="21"/>
      <c r="O8" s="21"/>
      <c r="P8" s="21"/>
      <c r="Q8" s="22" t="s">
        <v>114</v>
      </c>
      <c r="R8" s="22" t="s">
        <v>114</v>
      </c>
      <c r="S8" s="22" t="s">
        <v>114</v>
      </c>
      <c r="T8" s="22" t="s">
        <v>113</v>
      </c>
      <c r="U8" s="22" t="s">
        <v>113</v>
      </c>
      <c r="V8" s="22" t="s">
        <v>113</v>
      </c>
      <c r="W8" s="21"/>
      <c r="X8" s="21"/>
      <c r="Y8" s="21"/>
      <c r="Z8" s="21"/>
      <c r="AA8" s="21"/>
      <c r="AB8" s="21"/>
      <c r="AC8" s="21"/>
      <c r="AD8" s="21"/>
      <c r="AE8" s="21"/>
      <c r="AF8" s="41" t="s">
        <v>34</v>
      </c>
      <c r="AG8" s="72">
        <f t="shared" ref="AG8:AL8" si="1">AG9-AG6</f>
        <v>7.1802899999999998E-3</v>
      </c>
      <c r="AH8" s="72">
        <f t="shared" si="1"/>
        <v>8.6572511999999987E-3</v>
      </c>
      <c r="AI8" s="72">
        <f t="shared" si="1"/>
        <v>9.7151768999999971E-3</v>
      </c>
      <c r="AJ8" s="72">
        <f t="shared" si="1"/>
        <v>6.4960505999999999E-3</v>
      </c>
      <c r="AK8" s="72">
        <f t="shared" si="1"/>
        <v>7.6649040000000002E-3</v>
      </c>
      <c r="AL8" s="72">
        <f t="shared" si="1"/>
        <v>8.0282903999999971E-3</v>
      </c>
      <c r="AM8" s="33" t="s">
        <v>71</v>
      </c>
      <c r="AN8" s="33"/>
      <c r="AO8" s="41" t="s">
        <v>36</v>
      </c>
      <c r="AP8" s="74">
        <v>0.28999999999999998</v>
      </c>
      <c r="AQ8" s="75">
        <v>0.28999999999999998</v>
      </c>
      <c r="AR8" s="33" t="s">
        <v>20</v>
      </c>
      <c r="AS8" s="33"/>
      <c r="AT8" s="185"/>
      <c r="AU8" s="185"/>
      <c r="AV8" s="185"/>
      <c r="AW8" s="185"/>
      <c r="AX8" s="185"/>
      <c r="AY8" s="185"/>
      <c r="AZ8" s="185"/>
      <c r="BA8" s="185"/>
      <c r="BB8" s="185"/>
      <c r="BC8" s="185"/>
      <c r="BD8" s="185"/>
      <c r="BE8" s="185"/>
      <c r="BF8" s="185"/>
      <c r="BG8" s="185"/>
      <c r="BH8" s="185"/>
      <c r="BI8" s="185"/>
      <c r="BJ8" s="185"/>
      <c r="BK8" s="185"/>
      <c r="BL8" s="185"/>
      <c r="BM8" s="185"/>
    </row>
    <row r="9" spans="1:65" ht="17.25" x14ac:dyDescent="0.25">
      <c r="A9" s="21"/>
      <c r="B9" s="21"/>
      <c r="C9" s="21"/>
      <c r="D9" s="21"/>
      <c r="E9" s="21"/>
      <c r="F9" s="21"/>
      <c r="G9" s="17">
        <v>4.0999999999999996</v>
      </c>
      <c r="H9" s="17">
        <v>4.2</v>
      </c>
      <c r="I9" s="17">
        <v>4.3</v>
      </c>
      <c r="J9" s="17">
        <v>4.4000000000000004</v>
      </c>
      <c r="K9" s="17">
        <v>4.5</v>
      </c>
      <c r="L9" s="17">
        <v>4.5999999999999996</v>
      </c>
      <c r="M9" s="21"/>
      <c r="N9" s="21"/>
      <c r="O9" s="21"/>
      <c r="P9" s="21"/>
      <c r="Q9" s="65" t="s">
        <v>112</v>
      </c>
      <c r="R9" s="65" t="s">
        <v>112</v>
      </c>
      <c r="S9" s="65" t="s">
        <v>112</v>
      </c>
      <c r="T9" s="65" t="s">
        <v>112</v>
      </c>
      <c r="U9" s="65" t="s">
        <v>112</v>
      </c>
      <c r="V9" s="65" t="s">
        <v>112</v>
      </c>
      <c r="W9" s="21"/>
      <c r="X9" s="21"/>
      <c r="Y9" s="21"/>
      <c r="Z9" s="22" t="s">
        <v>114</v>
      </c>
      <c r="AA9" s="22" t="s">
        <v>114</v>
      </c>
      <c r="AB9" s="22" t="s">
        <v>114</v>
      </c>
      <c r="AC9" s="22" t="s">
        <v>113</v>
      </c>
      <c r="AD9" s="22" t="s">
        <v>113</v>
      </c>
      <c r="AE9" s="22" t="s">
        <v>113</v>
      </c>
      <c r="AF9" s="41" t="s">
        <v>33</v>
      </c>
      <c r="AG9" s="73">
        <f>$AQ4*$AQ5*$AQ6</f>
        <v>1.4079E-2</v>
      </c>
      <c r="AH9" s="73">
        <f>$AQ4*$AQ5*$AQ7</f>
        <v>1.7783999999999998E-2</v>
      </c>
      <c r="AI9" s="73">
        <f>$AQ4*$AQ5*$AQ8</f>
        <v>2.1488999999999998E-2</v>
      </c>
      <c r="AJ9" s="73">
        <f>$AQ4*$AQ5*$AQ6</f>
        <v>1.4079E-2</v>
      </c>
      <c r="AK9" s="73">
        <f>$AQ4*$AQ5*$AQ7</f>
        <v>1.7783999999999998E-2</v>
      </c>
      <c r="AL9" s="73">
        <f>$AQ4*$AQ5*$AQ8</f>
        <v>2.1488999999999998E-2</v>
      </c>
      <c r="AM9" s="33" t="s">
        <v>71</v>
      </c>
      <c r="AN9" s="33"/>
      <c r="AO9" s="41" t="s">
        <v>25</v>
      </c>
      <c r="AP9" s="77">
        <f>AP4*AP5</f>
        <v>8.0000000000000016E-2</v>
      </c>
      <c r="AQ9" s="78">
        <f>AQ4*AQ5</f>
        <v>7.4099999999999999E-2</v>
      </c>
      <c r="AR9" s="33" t="s">
        <v>58</v>
      </c>
      <c r="AS9" s="33"/>
      <c r="AT9" s="185"/>
      <c r="AU9" s="185"/>
      <c r="AV9" s="185"/>
      <c r="AW9" s="185"/>
      <c r="AX9" s="185"/>
      <c r="AY9" s="185"/>
      <c r="AZ9" s="185"/>
      <c r="BA9" s="185"/>
      <c r="BB9" s="185"/>
      <c r="BC9" s="185"/>
      <c r="BD9" s="185"/>
      <c r="BE9" s="185"/>
      <c r="BF9" s="185"/>
      <c r="BG9" s="185"/>
      <c r="BH9" s="185"/>
      <c r="BI9" s="185"/>
      <c r="BJ9" s="185"/>
      <c r="BK9" s="185"/>
      <c r="BL9" s="185"/>
      <c r="BM9" s="185"/>
    </row>
    <row r="10" spans="1:65" ht="18.75" x14ac:dyDescent="0.3">
      <c r="A10" s="21"/>
      <c r="B10" s="21"/>
      <c r="C10" s="43" t="s">
        <v>4</v>
      </c>
      <c r="D10" s="32">
        <v>9.29036003936725E-2</v>
      </c>
      <c r="E10" s="33" t="s">
        <v>136</v>
      </c>
      <c r="F10" s="21"/>
      <c r="G10" s="22" t="s">
        <v>2</v>
      </c>
      <c r="H10" s="22" t="s">
        <v>2</v>
      </c>
      <c r="I10" s="22" t="s">
        <v>2</v>
      </c>
      <c r="J10" s="22" t="s">
        <v>2</v>
      </c>
      <c r="K10" s="22" t="s">
        <v>2</v>
      </c>
      <c r="L10" s="22" t="s">
        <v>2</v>
      </c>
      <c r="M10" s="21"/>
      <c r="N10" s="82" t="s">
        <v>77</v>
      </c>
      <c r="O10" s="21"/>
      <c r="P10" s="21"/>
      <c r="Q10" s="65">
        <f t="shared" ref="Q10:V10" si="2">Q12/25.4</f>
        <v>7.8740157480314963</v>
      </c>
      <c r="R10" s="65">
        <f t="shared" si="2"/>
        <v>9.8425196850393704</v>
      </c>
      <c r="S10" s="65">
        <f t="shared" si="2"/>
        <v>11.811023622047244</v>
      </c>
      <c r="T10" s="65">
        <f t="shared" si="2"/>
        <v>7.8740157480314963</v>
      </c>
      <c r="U10" s="65">
        <f t="shared" si="2"/>
        <v>9.8425196850393704</v>
      </c>
      <c r="V10" s="65">
        <f t="shared" si="2"/>
        <v>11.811023622047244</v>
      </c>
      <c r="W10" s="33"/>
      <c r="X10" s="33"/>
      <c r="Y10" s="33"/>
      <c r="Z10" s="65">
        <f t="shared" ref="Z10:AE10" si="3">Z12/25.4</f>
        <v>7.8740157480314963</v>
      </c>
      <c r="AA10" s="65">
        <f t="shared" si="3"/>
        <v>9.8425196850393704</v>
      </c>
      <c r="AB10" s="65">
        <f t="shared" si="3"/>
        <v>11.811023622047244</v>
      </c>
      <c r="AC10" s="65">
        <f t="shared" si="3"/>
        <v>7.8740157480314963</v>
      </c>
      <c r="AD10" s="65">
        <f t="shared" si="3"/>
        <v>9.8425196850393704</v>
      </c>
      <c r="AE10" s="65">
        <f t="shared" si="3"/>
        <v>11.811023622047244</v>
      </c>
      <c r="AF10" s="33"/>
      <c r="AG10" s="33"/>
      <c r="AH10" s="33"/>
      <c r="AI10" s="33"/>
      <c r="AJ10" s="33"/>
      <c r="AK10" s="33"/>
      <c r="AL10" s="33"/>
      <c r="AM10" s="33"/>
      <c r="AN10" s="33"/>
      <c r="AO10" s="67" t="s">
        <v>73</v>
      </c>
      <c r="AP10" s="79">
        <f>1/BlockUnitArea</f>
        <v>12.499999999999998</v>
      </c>
      <c r="AQ10" s="80">
        <f>BlockPerM2</f>
        <v>12.499999999999998</v>
      </c>
      <c r="AR10" s="68" t="s">
        <v>11</v>
      </c>
      <c r="AS10" s="33"/>
      <c r="AT10" s="185"/>
      <c r="AU10" s="185"/>
      <c r="AV10" s="185"/>
      <c r="AW10" s="185"/>
      <c r="AX10" s="185"/>
      <c r="AY10" s="185"/>
      <c r="AZ10" s="185"/>
      <c r="BA10" s="185"/>
      <c r="BB10" s="185"/>
      <c r="BC10" s="185"/>
      <c r="BD10" s="185"/>
      <c r="BE10" s="185"/>
      <c r="BF10" s="185"/>
      <c r="BG10" s="185"/>
      <c r="BH10" s="185"/>
      <c r="BI10" s="185"/>
      <c r="BJ10" s="185"/>
      <c r="BK10" s="185"/>
      <c r="BL10" s="185"/>
      <c r="BM10" s="185"/>
    </row>
    <row r="11" spans="1:65" ht="17.25" x14ac:dyDescent="0.25">
      <c r="A11" s="21"/>
      <c r="B11" s="15">
        <v>1</v>
      </c>
      <c r="C11" s="38" t="s">
        <v>5</v>
      </c>
      <c r="D11" s="124">
        <f>'Inputs&amp;Outputs'!G22*D10</f>
        <v>1000.0143546374908</v>
      </c>
      <c r="E11" s="21" t="s">
        <v>6</v>
      </c>
      <c r="F11" s="21"/>
      <c r="G11" s="12">
        <v>200</v>
      </c>
      <c r="H11" s="12">
        <v>250</v>
      </c>
      <c r="I11" s="12">
        <v>300</v>
      </c>
      <c r="J11" s="12">
        <v>200</v>
      </c>
      <c r="K11" s="12">
        <v>250</v>
      </c>
      <c r="L11" s="12">
        <v>300</v>
      </c>
      <c r="M11" s="21"/>
      <c r="N11" s="82" t="s">
        <v>78</v>
      </c>
      <c r="O11" s="21"/>
      <c r="P11" s="21"/>
      <c r="Q11" s="32" t="s">
        <v>2</v>
      </c>
      <c r="R11" s="32" t="s">
        <v>2</v>
      </c>
      <c r="S11" s="32" t="s">
        <v>2</v>
      </c>
      <c r="T11" s="32" t="s">
        <v>2</v>
      </c>
      <c r="U11" s="32" t="s">
        <v>2</v>
      </c>
      <c r="V11" s="32" t="s">
        <v>2</v>
      </c>
      <c r="W11" s="33"/>
      <c r="X11" s="33"/>
      <c r="Y11" s="33"/>
      <c r="Z11" s="32" t="s">
        <v>2</v>
      </c>
      <c r="AA11" s="32" t="s">
        <v>2</v>
      </c>
      <c r="AB11" s="32" t="s">
        <v>2</v>
      </c>
      <c r="AC11" s="32" t="s">
        <v>2</v>
      </c>
      <c r="AD11" s="32" t="s">
        <v>2</v>
      </c>
      <c r="AE11" s="32" t="s">
        <v>2</v>
      </c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81">
        <v>1.125</v>
      </c>
      <c r="AQ11" s="81">
        <v>1.125</v>
      </c>
      <c r="AR11" s="33" t="s">
        <v>74</v>
      </c>
      <c r="AS11" s="33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</row>
    <row r="12" spans="1:65" ht="18.75" x14ac:dyDescent="0.35">
      <c r="A12" s="21"/>
      <c r="B12" s="22"/>
      <c r="C12" s="21"/>
      <c r="D12" s="21"/>
      <c r="E12" s="21"/>
      <c r="F12" s="22" t="s">
        <v>173</v>
      </c>
      <c r="G12" s="22" t="s">
        <v>37</v>
      </c>
      <c r="H12" s="22" t="s">
        <v>37</v>
      </c>
      <c r="I12" s="22" t="s">
        <v>37</v>
      </c>
      <c r="J12" s="22" t="s">
        <v>37</v>
      </c>
      <c r="K12" s="22" t="s">
        <v>37</v>
      </c>
      <c r="L12" s="22" t="s">
        <v>37</v>
      </c>
      <c r="M12" s="21"/>
      <c r="N12" s="32" t="s">
        <v>61</v>
      </c>
      <c r="O12" s="21"/>
      <c r="P12" s="21"/>
      <c r="Q12" s="1">
        <v>200</v>
      </c>
      <c r="R12" s="1">
        <v>250</v>
      </c>
      <c r="S12" s="1">
        <v>300</v>
      </c>
      <c r="T12" s="1">
        <v>200</v>
      </c>
      <c r="U12" s="1">
        <v>250</v>
      </c>
      <c r="V12" s="1">
        <v>300</v>
      </c>
      <c r="W12" s="21"/>
      <c r="X12" s="21"/>
      <c r="Y12" s="21"/>
      <c r="Z12" s="1">
        <v>200</v>
      </c>
      <c r="AA12" s="1">
        <v>250</v>
      </c>
      <c r="AB12" s="1">
        <v>300</v>
      </c>
      <c r="AC12" s="1">
        <v>200</v>
      </c>
      <c r="AD12" s="1">
        <v>250</v>
      </c>
      <c r="AE12" s="1">
        <v>300</v>
      </c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185"/>
      <c r="AU12" s="185"/>
      <c r="AV12" s="185"/>
      <c r="AW12" s="185"/>
      <c r="AX12" s="185"/>
      <c r="AY12" s="185"/>
      <c r="AZ12" s="185"/>
      <c r="BA12" s="185"/>
      <c r="BB12" s="185"/>
      <c r="BC12" s="185"/>
      <c r="BD12" s="185"/>
      <c r="BE12" s="185"/>
      <c r="BF12" s="185"/>
      <c r="BG12" s="185"/>
      <c r="BH12" s="185"/>
      <c r="BI12" s="185"/>
      <c r="BJ12" s="185"/>
      <c r="BK12" s="185"/>
      <c r="BL12" s="185"/>
      <c r="BM12" s="185"/>
    </row>
    <row r="13" spans="1:65" x14ac:dyDescent="0.25">
      <c r="A13" s="21"/>
      <c r="B13" s="22"/>
      <c r="C13" s="38" t="str">
        <f>Choices!C5</f>
        <v>Plant and Block Type</v>
      </c>
      <c r="D13" s="107">
        <f>Choices!D5</f>
        <v>1</v>
      </c>
      <c r="E13" s="21"/>
      <c r="F13" s="37"/>
      <c r="G13" s="32">
        <f>G$8</f>
        <v>1</v>
      </c>
      <c r="H13" s="32">
        <f t="shared" ref="H13:L13" si="4">H$8</f>
        <v>2</v>
      </c>
      <c r="I13" s="32">
        <f t="shared" si="4"/>
        <v>3</v>
      </c>
      <c r="J13" s="32">
        <f t="shared" si="4"/>
        <v>4</v>
      </c>
      <c r="K13" s="32">
        <f t="shared" si="4"/>
        <v>5</v>
      </c>
      <c r="L13" s="32">
        <f t="shared" si="4"/>
        <v>6</v>
      </c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33"/>
      <c r="AS13" s="33"/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5"/>
      <c r="BE13" s="185"/>
      <c r="BF13" s="185"/>
      <c r="BG13" s="185"/>
      <c r="BH13" s="185"/>
      <c r="BI13" s="185"/>
      <c r="BJ13" s="185"/>
      <c r="BK13" s="185"/>
      <c r="BL13" s="185"/>
      <c r="BM13" s="185"/>
    </row>
    <row r="14" spans="1:65" ht="18.75" x14ac:dyDescent="0.35">
      <c r="A14" s="21"/>
      <c r="B14" s="8">
        <v>2.1</v>
      </c>
      <c r="C14" s="32">
        <v>1</v>
      </c>
      <c r="D14" s="192" t="str">
        <f>Choices!H5</f>
        <v>Sun Valley (Tuxford) TX Medium Weight Gray Block</v>
      </c>
      <c r="E14" s="21"/>
      <c r="F14" s="126">
        <f>HLOOKUP(BlockNum,$G$13:$L$14,2)</f>
        <v>12.748499302499999</v>
      </c>
      <c r="G14" s="48">
        <f>$N14*Q14</f>
        <v>14.091319124999998</v>
      </c>
      <c r="H14" s="48">
        <f t="shared" ref="H14:L14" si="5">$N14*R14</f>
        <v>16.989855479999996</v>
      </c>
      <c r="I14" s="48">
        <f t="shared" si="5"/>
        <v>19.06603466624999</v>
      </c>
      <c r="J14" s="48">
        <f t="shared" si="5"/>
        <v>12.748499302499999</v>
      </c>
      <c r="K14" s="48">
        <f t="shared" si="5"/>
        <v>15.042374099999998</v>
      </c>
      <c r="L14" s="48">
        <f t="shared" si="5"/>
        <v>15.755519909999991</v>
      </c>
      <c r="M14" s="33" t="s">
        <v>62</v>
      </c>
      <c r="N14" s="26">
        <f>NDCO2</f>
        <v>157</v>
      </c>
      <c r="O14" s="31" t="s">
        <v>63</v>
      </c>
      <c r="P14" s="21"/>
      <c r="Q14" s="49">
        <f>BlockPerM2*VolTwoHundredSOE</f>
        <v>8.975362499999999E-2</v>
      </c>
      <c r="R14" s="49">
        <f>BlockPerM2*VolTwoFiftySOE</f>
        <v>0.10821563999999997</v>
      </c>
      <c r="S14" s="49">
        <f>BlockPerM2*VolThreeHundredSOE</f>
        <v>0.12143971124999994</v>
      </c>
      <c r="T14" s="49">
        <f>BlockPerM2*VolTwoHundredDOE</f>
        <v>8.1200632499999995E-2</v>
      </c>
      <c r="U14" s="49">
        <f>BlockPerM2*VolTwoFiftyDOE</f>
        <v>9.5811299999999988E-2</v>
      </c>
      <c r="V14" s="49">
        <f>BlockPerM2*VolThreeHundredDOE</f>
        <v>0.10035362999999994</v>
      </c>
      <c r="W14" s="33" t="s">
        <v>70</v>
      </c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33"/>
      <c r="AM14" s="33"/>
      <c r="AN14" s="33"/>
      <c r="AO14" s="33"/>
      <c r="AP14" s="33"/>
      <c r="AQ14" s="33"/>
      <c r="AR14" s="33"/>
      <c r="AS14" s="33"/>
      <c r="AT14" s="185"/>
      <c r="AU14" s="185"/>
      <c r="AV14" s="185"/>
      <c r="AW14" s="185"/>
      <c r="AX14" s="185"/>
      <c r="AY14" s="185"/>
      <c r="AZ14" s="185"/>
      <c r="BA14" s="185"/>
      <c r="BB14" s="185"/>
      <c r="BC14" s="185"/>
      <c r="BD14" s="185"/>
      <c r="BE14" s="185"/>
      <c r="BF14" s="185"/>
      <c r="BG14" s="185"/>
      <c r="BH14" s="185"/>
      <c r="BI14" s="185"/>
      <c r="BJ14" s="185"/>
      <c r="BK14" s="185"/>
      <c r="BL14" s="185"/>
      <c r="BM14" s="185"/>
    </row>
    <row r="15" spans="1:65" ht="17.25" x14ac:dyDescent="0.25">
      <c r="A15" s="21"/>
      <c r="B15" s="22"/>
      <c r="C15" s="38" t="str">
        <f>Choices!C13</f>
        <v>Block Shape</v>
      </c>
      <c r="D15" s="108">
        <f>Choices!D13</f>
        <v>2</v>
      </c>
      <c r="E15" s="21"/>
      <c r="F15" s="37"/>
      <c r="G15" s="21"/>
      <c r="H15" s="21"/>
      <c r="I15" s="21"/>
      <c r="J15" s="21"/>
      <c r="K15" s="21"/>
      <c r="L15" s="21"/>
      <c r="M15" s="21"/>
      <c r="N15" s="37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33"/>
      <c r="AM15" s="33"/>
      <c r="AN15" s="41" t="s">
        <v>55</v>
      </c>
      <c r="AO15" s="33" t="s">
        <v>75</v>
      </c>
      <c r="AP15" s="32" t="s">
        <v>57</v>
      </c>
      <c r="AQ15" s="33" t="s">
        <v>72</v>
      </c>
      <c r="AR15" s="33" t="s">
        <v>53</v>
      </c>
      <c r="AS15" s="33"/>
      <c r="AT15" s="185"/>
      <c r="AU15" s="185"/>
      <c r="AV15" s="185"/>
      <c r="AW15" s="185"/>
      <c r="AX15" s="185"/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  <c r="BI15" s="185"/>
      <c r="BJ15" s="185"/>
      <c r="BK15" s="185"/>
      <c r="BL15" s="185"/>
      <c r="BM15" s="185"/>
    </row>
    <row r="16" spans="1:65" ht="17.25" x14ac:dyDescent="0.25">
      <c r="A16" s="21"/>
      <c r="B16" s="16">
        <v>3.1</v>
      </c>
      <c r="C16" s="32">
        <v>1</v>
      </c>
      <c r="D16" s="1" t="s">
        <v>106</v>
      </c>
      <c r="E16" s="21"/>
      <c r="F16" s="37"/>
      <c r="G16" s="31"/>
      <c r="H16" s="31"/>
      <c r="I16" s="31"/>
      <c r="J16" s="31"/>
      <c r="K16" s="31"/>
      <c r="L16" s="31"/>
      <c r="M16" s="31"/>
      <c r="N16" s="37"/>
      <c r="O16" s="31"/>
      <c r="P16" s="31"/>
      <c r="Q16" s="31"/>
      <c r="R16" s="31"/>
      <c r="S16" s="31"/>
      <c r="T16" s="31"/>
      <c r="U16" s="31"/>
      <c r="V16" s="67" t="s">
        <v>21</v>
      </c>
      <c r="W16" s="33" t="s">
        <v>76</v>
      </c>
      <c r="X16" s="139">
        <f>8.22962482054846/100</f>
        <v>8.2296248205484604E-2</v>
      </c>
      <c r="Y16" s="33" t="s">
        <v>70</v>
      </c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33" t="s">
        <v>56</v>
      </c>
      <c r="AN16" s="32">
        <v>105</v>
      </c>
      <c r="AO16" s="33" t="s">
        <v>75</v>
      </c>
      <c r="AP16" s="69">
        <f>AN16*16.0184633060006</f>
        <v>1681.9386471300631</v>
      </c>
      <c r="AQ16" s="33" t="s">
        <v>72</v>
      </c>
      <c r="AR16" s="33" t="s">
        <v>54</v>
      </c>
      <c r="AS16" s="21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</row>
    <row r="17" spans="1:65" x14ac:dyDescent="0.25">
      <c r="A17" s="21"/>
      <c r="B17" s="16">
        <v>3.2</v>
      </c>
      <c r="C17" s="32">
        <v>2</v>
      </c>
      <c r="D17" s="1" t="s">
        <v>107</v>
      </c>
      <c r="E17" s="21"/>
      <c r="F17" s="37"/>
      <c r="G17" s="31"/>
      <c r="H17" s="31"/>
      <c r="I17" s="31"/>
      <c r="J17" s="31"/>
      <c r="K17" s="31"/>
      <c r="L17" s="31"/>
      <c r="M17" s="31"/>
      <c r="N17" s="37"/>
      <c r="O17" s="31"/>
      <c r="P17" s="31"/>
      <c r="Q17" s="31"/>
      <c r="R17" s="31"/>
      <c r="S17" s="31"/>
      <c r="T17" s="31"/>
      <c r="U17" s="31"/>
      <c r="V17" s="31"/>
      <c r="W17" s="3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185"/>
      <c r="AU17" s="185"/>
      <c r="AV17" s="185"/>
      <c r="AW17" s="185"/>
      <c r="AX17" s="185"/>
      <c r="AY17" s="185"/>
      <c r="AZ17" s="185"/>
      <c r="BA17" s="185"/>
      <c r="BB17" s="185"/>
      <c r="BC17" s="185"/>
      <c r="BD17" s="185"/>
      <c r="BE17" s="185"/>
      <c r="BF17" s="185"/>
      <c r="BG17" s="185"/>
      <c r="BH17" s="185"/>
      <c r="BI17" s="185"/>
      <c r="BJ17" s="185"/>
      <c r="BK17" s="185"/>
      <c r="BL17" s="185"/>
      <c r="BM17" s="185"/>
    </row>
    <row r="18" spans="1:65" x14ac:dyDescent="0.25">
      <c r="A18" s="21"/>
      <c r="B18" s="22"/>
      <c r="C18" s="38" t="str">
        <f>Choices!C20</f>
        <v>Grout Type</v>
      </c>
      <c r="D18" s="110">
        <f>GroutChoice</f>
        <v>1</v>
      </c>
      <c r="E18" s="21"/>
      <c r="F18" s="37"/>
      <c r="G18" s="32">
        <f>G$8</f>
        <v>1</v>
      </c>
      <c r="H18" s="32">
        <f t="shared" ref="H18:L18" si="6">H$8</f>
        <v>2</v>
      </c>
      <c r="I18" s="32">
        <f t="shared" si="6"/>
        <v>3</v>
      </c>
      <c r="J18" s="32">
        <f t="shared" si="6"/>
        <v>4</v>
      </c>
      <c r="K18" s="32">
        <f t="shared" si="6"/>
        <v>5</v>
      </c>
      <c r="L18" s="32">
        <f t="shared" si="6"/>
        <v>6</v>
      </c>
      <c r="M18" s="33"/>
      <c r="N18" s="37"/>
      <c r="O18" s="33"/>
      <c r="P18" s="33"/>
      <c r="Q18" s="21"/>
      <c r="R18" s="21"/>
      <c r="S18" s="21"/>
      <c r="T18" s="21"/>
      <c r="U18" s="21"/>
      <c r="V18" s="21"/>
      <c r="W18" s="21"/>
      <c r="X18" s="33" t="s">
        <v>1</v>
      </c>
      <c r="Y18" s="21"/>
      <c r="Z18" s="21"/>
      <c r="AA18" s="21"/>
      <c r="AB18" s="21"/>
      <c r="AC18" s="21"/>
      <c r="AD18" s="21"/>
      <c r="AE18" s="21"/>
      <c r="AF18" s="21"/>
      <c r="AG18" s="21" t="s">
        <v>117</v>
      </c>
      <c r="AH18" s="21"/>
      <c r="AI18" s="21"/>
      <c r="AJ18" s="21"/>
      <c r="AK18" s="21"/>
      <c r="AL18" s="21"/>
      <c r="AM18" s="21"/>
      <c r="AN18" s="21" t="s">
        <v>118</v>
      </c>
      <c r="AO18" s="21"/>
      <c r="AP18" s="21"/>
      <c r="AQ18" s="21"/>
      <c r="AR18" s="21"/>
      <c r="AS18" s="21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185"/>
      <c r="BL18" s="185"/>
      <c r="BM18" s="185"/>
    </row>
    <row r="19" spans="1:65" ht="18.75" x14ac:dyDescent="0.35">
      <c r="A19" s="21"/>
      <c r="B19" s="18">
        <v>5.0999999999999996</v>
      </c>
      <c r="C19" s="32">
        <v>1</v>
      </c>
      <c r="D19" s="1" t="str">
        <f>Choices!H21</f>
        <v>100% Cement</v>
      </c>
      <c r="E19" s="31"/>
      <c r="F19" s="126">
        <f>IF(GroutType&lt;&gt;Choices!D21,"",HLOOKUP(BlockNum,$G$18:$L$22,2))</f>
        <v>55.202060563010896</v>
      </c>
      <c r="G19" s="46">
        <f>$N19*Q19/1000</f>
        <v>50.659249764581062</v>
      </c>
      <c r="H19" s="46">
        <f t="shared" ref="H19:L20" si="7">$N19*R19/1000</f>
        <v>67.410240580803347</v>
      </c>
      <c r="I19" s="46">
        <f t="shared" si="7"/>
        <v>86.943297139403867</v>
      </c>
      <c r="J19" s="46">
        <f t="shared" si="7"/>
        <v>55.202060563010896</v>
      </c>
      <c r="K19" s="46">
        <f t="shared" si="7"/>
        <v>73.99864454577758</v>
      </c>
      <c r="L19" s="46">
        <f t="shared" si="7"/>
        <v>98.142895127952158</v>
      </c>
      <c r="M19" s="33" t="s">
        <v>62</v>
      </c>
      <c r="N19" s="169">
        <f>GroutCO2</f>
        <v>235.31065416792666</v>
      </c>
      <c r="O19" s="31" t="s">
        <v>64</v>
      </c>
      <c r="P19" s="31"/>
      <c r="Q19" s="47">
        <f>Z$19*GroutDensity100PC</f>
        <v>215.2866811055172</v>
      </c>
      <c r="R19" s="47">
        <f t="shared" ref="R19:V19" si="8">AA19*GroutDensity100PC</f>
        <v>286.47338905741526</v>
      </c>
      <c r="S19" s="47">
        <f t="shared" si="8"/>
        <v>369.4830454950748</v>
      </c>
      <c r="T19" s="47">
        <f t="shared" si="8"/>
        <v>234.5922701979172</v>
      </c>
      <c r="U19" s="47">
        <f t="shared" si="8"/>
        <v>314.4721381504865</v>
      </c>
      <c r="V19" s="47">
        <f t="shared" si="8"/>
        <v>417.07799196339681</v>
      </c>
      <c r="W19" s="33" t="s">
        <v>69</v>
      </c>
      <c r="X19" s="50">
        <f>GroutDensity100PC</f>
        <v>2257.17362576899</v>
      </c>
      <c r="Y19" s="33" t="s">
        <v>72</v>
      </c>
      <c r="Z19" s="49">
        <f t="shared" ref="Z19:AE19" si="9">(AG24+AG19)*BlockPerM2</f>
        <v>9.5378874999999974E-2</v>
      </c>
      <c r="AA19" s="49">
        <f t="shared" si="9"/>
        <v>0.12691685999999999</v>
      </c>
      <c r="AB19" s="49">
        <f t="shared" si="9"/>
        <v>0.16369278874999998</v>
      </c>
      <c r="AC19" s="49">
        <f t="shared" si="9"/>
        <v>0.10393186749999998</v>
      </c>
      <c r="AD19" s="49">
        <f t="shared" si="9"/>
        <v>0.13932119999999995</v>
      </c>
      <c r="AE19" s="49">
        <f t="shared" si="9"/>
        <v>0.18477886999999998</v>
      </c>
      <c r="AF19" s="33" t="s">
        <v>70</v>
      </c>
      <c r="AG19" s="49">
        <f>(BlockLength+BlockHeight-MortarJointWidth/1000)*(AG4/1000-2*MortarJointDepth/1000)*MortarJointWidth/1000</f>
        <v>7.3160000000000011E-4</v>
      </c>
      <c r="AH19" s="49">
        <f t="shared" ref="AG19:AL19" si="10">(BlockLength+BlockHeight-MortarJointWidth/1000)*(AH4/1000-2*MortarJointDepth/1000)*MortarJointWidth/1000</f>
        <v>1.0265999999999999E-3</v>
      </c>
      <c r="AI19" s="49">
        <f t="shared" si="10"/>
        <v>1.3216E-3</v>
      </c>
      <c r="AJ19" s="49">
        <f t="shared" si="10"/>
        <v>7.3160000000000011E-4</v>
      </c>
      <c r="AK19" s="49">
        <f t="shared" si="10"/>
        <v>1.0265999999999999E-3</v>
      </c>
      <c r="AL19" s="49">
        <f>(BlockLength+BlockHeight-MortarJointWidth/1000)*(AL4/1000-2*MortarJointDepth/1000)*MortarJointWidth/1000</f>
        <v>1.3216E-3</v>
      </c>
      <c r="AM19" s="33" t="s">
        <v>121</v>
      </c>
      <c r="AN19" s="127">
        <v>38</v>
      </c>
      <c r="AO19" s="33" t="s">
        <v>2</v>
      </c>
      <c r="AP19" s="70">
        <v>1.5</v>
      </c>
      <c r="AQ19" s="33" t="s">
        <v>112</v>
      </c>
      <c r="AR19" s="21"/>
      <c r="AS19" s="21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185"/>
      <c r="BK19" s="185"/>
      <c r="BL19" s="185"/>
      <c r="BM19" s="185"/>
    </row>
    <row r="20" spans="1:65" ht="18.75" x14ac:dyDescent="0.35">
      <c r="A20" s="21"/>
      <c r="B20" s="18">
        <v>5.2</v>
      </c>
      <c r="C20" s="32">
        <v>2</v>
      </c>
      <c r="D20" s="1" t="s">
        <v>223</v>
      </c>
      <c r="E20" s="31"/>
      <c r="F20" s="126" t="str">
        <f>IF(GroutType&lt;&gt;Choices!D22,"",HLOOKUP(BlockNum,$G$18:$L$22,3))</f>
        <v/>
      </c>
      <c r="G20" s="46">
        <f t="shared" ref="G20" si="11">$N20*Q20/1000</f>
        <v>37.409782472811116</v>
      </c>
      <c r="H20" s="46">
        <f t="shared" si="7"/>
        <v>49.779703574111387</v>
      </c>
      <c r="I20" s="46">
        <f t="shared" si="7"/>
        <v>64.204066356468601</v>
      </c>
      <c r="J20" s="46">
        <f t="shared" si="7"/>
        <v>40.764462310632489</v>
      </c>
      <c r="K20" s="46">
        <f t="shared" si="7"/>
        <v>54.64497023948973</v>
      </c>
      <c r="L20" s="46">
        <f t="shared" si="7"/>
        <v>72.474511072518354</v>
      </c>
      <c r="M20" s="33" t="s">
        <v>224</v>
      </c>
      <c r="N20" s="170">
        <f>Grout25CO2</f>
        <v>177.31684809998993</v>
      </c>
      <c r="O20" s="31" t="s">
        <v>64</v>
      </c>
      <c r="P20" s="31"/>
      <c r="Q20" s="47">
        <f t="shared" ref="Q20:V20" si="12">Z$19*GroutDensity25FA</f>
        <v>210.97703277308165</v>
      </c>
      <c r="R20" s="47">
        <f t="shared" si="12"/>
        <v>280.73871212757143</v>
      </c>
      <c r="S20" s="47">
        <f t="shared" si="12"/>
        <v>362.08666601305464</v>
      </c>
      <c r="T20" s="47">
        <f t="shared" si="12"/>
        <v>229.89615903642269</v>
      </c>
      <c r="U20" s="47">
        <f t="shared" si="12"/>
        <v>308.17697711768</v>
      </c>
      <c r="V20" s="47">
        <f t="shared" si="12"/>
        <v>408.72884809936158</v>
      </c>
      <c r="W20" s="33"/>
      <c r="X20" s="50">
        <f>GroutDensity25FA</f>
        <v>2211.9891094656095</v>
      </c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21"/>
      <c r="AQ20" s="33"/>
      <c r="AR20" s="21"/>
      <c r="AS20" s="21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185"/>
      <c r="BE20" s="185"/>
      <c r="BF20" s="185"/>
      <c r="BG20" s="185"/>
      <c r="BH20" s="185"/>
      <c r="BI20" s="185"/>
      <c r="BJ20" s="185"/>
      <c r="BK20" s="185"/>
      <c r="BL20" s="185"/>
      <c r="BM20" s="185"/>
    </row>
    <row r="21" spans="1:65" ht="18.75" x14ac:dyDescent="0.35">
      <c r="A21" s="21"/>
      <c r="B21" s="18">
        <v>5.3</v>
      </c>
      <c r="C21" s="32">
        <v>3</v>
      </c>
      <c r="D21" s="1" t="str">
        <f>Choices!H23</f>
        <v>40% Fly Ash</v>
      </c>
      <c r="E21" s="31"/>
      <c r="F21" s="126" t="str">
        <f>IF(GroutType&lt;&gt;Choices!D23,"",HLOOKUP(BlockNum,$G$18:$L$22,4))</f>
        <v/>
      </c>
      <c r="G21" s="46">
        <f t="shared" ref="G21:L21" si="13">$N21*Q21/1000</f>
        <v>29.711701222725505</v>
      </c>
      <c r="H21" s="46">
        <f t="shared" si="13"/>
        <v>39.536174278072394</v>
      </c>
      <c r="I21" s="46">
        <f t="shared" si="13"/>
        <v>50.992331705052337</v>
      </c>
      <c r="J21" s="46">
        <f t="shared" si="13"/>
        <v>32.376064350516771</v>
      </c>
      <c r="K21" s="46">
        <f t="shared" si="13"/>
        <v>43.400279866915859</v>
      </c>
      <c r="L21" s="46">
        <f t="shared" si="13"/>
        <v>57.560907252395651</v>
      </c>
      <c r="M21" s="33" t="s">
        <v>62</v>
      </c>
      <c r="N21" s="170">
        <f>Grout40CO2</f>
        <v>142.5205644592279</v>
      </c>
      <c r="O21" s="31" t="s">
        <v>64</v>
      </c>
      <c r="P21" s="31"/>
      <c r="Q21" s="47">
        <f t="shared" ref="Q21:V21" si="14">Z$19*GroutDensity40FA</f>
        <v>208.47308130908638</v>
      </c>
      <c r="R21" s="47">
        <f t="shared" si="14"/>
        <v>277.40680390992173</v>
      </c>
      <c r="S21" s="47">
        <f t="shared" si="14"/>
        <v>357.78929095976292</v>
      </c>
      <c r="T21" s="47">
        <f t="shared" si="14"/>
        <v>227.167668563219</v>
      </c>
      <c r="U21" s="47">
        <f t="shared" si="14"/>
        <v>304.51942168199702</v>
      </c>
      <c r="V21" s="47">
        <f t="shared" si="14"/>
        <v>403.87790681858127</v>
      </c>
      <c r="W21" s="21"/>
      <c r="X21" s="50">
        <f>GroutDensity40FA</f>
        <v>2185.736425482964</v>
      </c>
      <c r="Y21" s="21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21"/>
      <c r="AQ21" s="21"/>
      <c r="AR21" s="21"/>
      <c r="AS21" s="22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  <c r="BI21" s="185"/>
      <c r="BJ21" s="185"/>
      <c r="BK21" s="185"/>
      <c r="BL21" s="185"/>
      <c r="BM21" s="185"/>
    </row>
    <row r="22" spans="1:65" ht="18.75" x14ac:dyDescent="0.35">
      <c r="A22" s="21"/>
      <c r="B22" s="18">
        <v>5.4</v>
      </c>
      <c r="C22" s="32">
        <v>4</v>
      </c>
      <c r="D22" s="1" t="s">
        <v>183</v>
      </c>
      <c r="E22" s="31"/>
      <c r="F22" s="126" t="str">
        <f>IF(GroutType&lt;&gt;Choices!D24,"",HLOOKUP(BlockNum,$G$18:$L$22,5))</f>
        <v/>
      </c>
      <c r="G22" s="46">
        <f t="shared" ref="G22" si="15">$N22*Q22/1000</f>
        <v>14.589078601296423</v>
      </c>
      <c r="H22" s="46">
        <f t="shared" ref="H22" si="16">$N22*R22/1000</f>
        <v>19.413104278801093</v>
      </c>
      <c r="I22" s="46">
        <f t="shared" ref="I22" si="17">$N22*S22/1000</f>
        <v>25.038321761911757</v>
      </c>
      <c r="J22" s="46">
        <f t="shared" ref="J22" si="18">$N22*T22/1000</f>
        <v>15.897337687585699</v>
      </c>
      <c r="K22" s="46">
        <f t="shared" ref="K22" si="19">$N22*U22/1000</f>
        <v>21.310462485817105</v>
      </c>
      <c r="L22" s="46">
        <f t="shared" ref="L22" si="20">$N22*V22/1000</f>
        <v>28.2636323639667</v>
      </c>
      <c r="M22" s="33" t="s">
        <v>62</v>
      </c>
      <c r="N22" s="170">
        <f>Grout2555CO2</f>
        <v>69.679613950206615</v>
      </c>
      <c r="O22" s="31" t="s">
        <v>64</v>
      </c>
      <c r="P22" s="31"/>
      <c r="Q22" s="47">
        <f t="shared" ref="Q22:V22" si="21">Z$19*GroutDensity25FA55Slag</f>
        <v>209.37370020048976</v>
      </c>
      <c r="R22" s="47">
        <f t="shared" si="21"/>
        <v>278.60522150242952</v>
      </c>
      <c r="S22" s="47">
        <f t="shared" si="21"/>
        <v>359.33496674944644</v>
      </c>
      <c r="T22" s="47">
        <f t="shared" si="21"/>
        <v>228.14904943282281</v>
      </c>
      <c r="U22" s="47">
        <f t="shared" si="21"/>
        <v>305.83496775750888</v>
      </c>
      <c r="V22" s="47">
        <f t="shared" si="21"/>
        <v>405.62268878475743</v>
      </c>
      <c r="W22" s="33"/>
      <c r="X22" s="50">
        <f>GroutDensity25FA55Slag</f>
        <v>2195.1789659973429</v>
      </c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21"/>
      <c r="AS22" s="21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  <c r="BJ22" s="185"/>
      <c r="BK22" s="185"/>
      <c r="BL22" s="185"/>
      <c r="BM22" s="185"/>
    </row>
    <row r="23" spans="1:65" x14ac:dyDescent="0.25">
      <c r="A23" s="21"/>
      <c r="B23" s="32"/>
      <c r="C23" s="32"/>
      <c r="D23" s="31"/>
      <c r="E23" s="31"/>
      <c r="F23" s="34"/>
      <c r="G23" s="33"/>
      <c r="H23" s="33"/>
      <c r="I23" s="33"/>
      <c r="J23" s="33"/>
      <c r="K23" s="33"/>
      <c r="L23" s="33"/>
      <c r="M23" s="33"/>
      <c r="N23" s="37"/>
      <c r="O23" s="31"/>
      <c r="P23" s="31"/>
      <c r="Q23" s="21"/>
      <c r="R23" s="21"/>
      <c r="S23" s="21"/>
      <c r="T23" s="21"/>
      <c r="U23" s="21"/>
      <c r="V23" s="21"/>
      <c r="W23" s="21"/>
      <c r="X23" s="21"/>
      <c r="Y23" s="21"/>
      <c r="Z23" s="32" t="s">
        <v>13</v>
      </c>
      <c r="AA23" s="32" t="s">
        <v>12</v>
      </c>
      <c r="AB23" s="32" t="s">
        <v>14</v>
      </c>
      <c r="AC23" s="32" t="s">
        <v>13</v>
      </c>
      <c r="AD23" s="32" t="s">
        <v>12</v>
      </c>
      <c r="AE23" s="32" t="s">
        <v>14</v>
      </c>
      <c r="AF23" s="21"/>
      <c r="AG23" s="21" t="s">
        <v>122</v>
      </c>
      <c r="AH23" s="36"/>
      <c r="AI23" s="21"/>
      <c r="AJ23" s="21"/>
      <c r="AK23" s="21"/>
      <c r="AL23" s="21"/>
      <c r="AM23" s="33"/>
      <c r="AN23" s="20" t="s">
        <v>119</v>
      </c>
      <c r="AO23" s="21"/>
      <c r="AP23" s="21"/>
      <c r="AQ23" s="21"/>
      <c r="AR23" s="21"/>
      <c r="AS23" s="22"/>
      <c r="AT23" s="185"/>
      <c r="AU23" s="185"/>
      <c r="AV23" s="185"/>
      <c r="AW23" s="185"/>
      <c r="AX23" s="185"/>
      <c r="AY23" s="185"/>
      <c r="AZ23" s="185"/>
      <c r="BA23" s="185"/>
      <c r="BB23" s="185"/>
      <c r="BC23" s="185"/>
      <c r="BD23" s="185"/>
      <c r="BE23" s="185"/>
      <c r="BF23" s="185"/>
      <c r="BG23" s="185"/>
      <c r="BH23" s="185"/>
      <c r="BI23" s="185"/>
      <c r="BJ23" s="185"/>
      <c r="BK23" s="185"/>
      <c r="BL23" s="185"/>
      <c r="BM23" s="185"/>
    </row>
    <row r="24" spans="1:65" ht="17.25" x14ac:dyDescent="0.25">
      <c r="A24" s="21"/>
      <c r="B24" s="22"/>
      <c r="C24" s="44" t="s">
        <v>116</v>
      </c>
      <c r="D24" s="152">
        <f>VerticalRebarNumber</f>
        <v>2</v>
      </c>
      <c r="E24" s="31"/>
      <c r="F24" s="34"/>
      <c r="G24" s="32">
        <f>G$8</f>
        <v>1</v>
      </c>
      <c r="H24" s="32">
        <f t="shared" ref="H24:L24" si="22">H$8</f>
        <v>2</v>
      </c>
      <c r="I24" s="32">
        <f t="shared" si="22"/>
        <v>3</v>
      </c>
      <c r="J24" s="32">
        <f t="shared" si="22"/>
        <v>4</v>
      </c>
      <c r="K24" s="32">
        <f t="shared" si="22"/>
        <v>5</v>
      </c>
      <c r="L24" s="32">
        <f t="shared" si="22"/>
        <v>6</v>
      </c>
      <c r="M24" s="33"/>
      <c r="N24" s="37"/>
      <c r="O24" s="33"/>
      <c r="P24" s="33"/>
      <c r="Q24" s="21"/>
      <c r="R24" s="21"/>
      <c r="S24" s="21"/>
      <c r="T24" s="21"/>
      <c r="U24" s="21"/>
      <c r="V24" s="21"/>
      <c r="W24" s="21"/>
      <c r="X24" s="21"/>
      <c r="Y24" s="21"/>
      <c r="Z24" s="22">
        <f>AC24</f>
        <v>3.9750000000000001</v>
      </c>
      <c r="AA24" s="22">
        <f t="shared" ref="AA24:AA25" si="23">AD24</f>
        <v>5.0599999999999996</v>
      </c>
      <c r="AB24" s="22">
        <f t="shared" ref="AB24:AB25" si="24">AE24</f>
        <v>7.9050000000000002</v>
      </c>
      <c r="AC24" s="51">
        <v>3.9750000000000001</v>
      </c>
      <c r="AD24" s="51">
        <v>5.0599999999999996</v>
      </c>
      <c r="AE24" s="51">
        <v>7.9050000000000002</v>
      </c>
      <c r="AF24" s="31" t="s">
        <v>26</v>
      </c>
      <c r="AG24" s="49">
        <f t="shared" ref="AG24:AL24" si="25">AG6</f>
        <v>6.8987099999999997E-3</v>
      </c>
      <c r="AH24" s="49">
        <f t="shared" si="25"/>
        <v>9.126748799999999E-3</v>
      </c>
      <c r="AI24" s="49">
        <f t="shared" si="25"/>
        <v>1.1773823100000001E-2</v>
      </c>
      <c r="AJ24" s="49">
        <f t="shared" si="25"/>
        <v>7.5829493999999996E-3</v>
      </c>
      <c r="AK24" s="49">
        <f t="shared" si="25"/>
        <v>1.0119095999999998E-2</v>
      </c>
      <c r="AL24" s="49">
        <f t="shared" si="25"/>
        <v>1.3460709600000001E-2</v>
      </c>
      <c r="AM24" s="33" t="s">
        <v>121</v>
      </c>
      <c r="AN24" s="127">
        <v>10</v>
      </c>
      <c r="AO24" s="33" t="s">
        <v>2</v>
      </c>
      <c r="AP24" s="137" t="s">
        <v>120</v>
      </c>
      <c r="AQ24" s="33" t="s">
        <v>112</v>
      </c>
      <c r="AR24" s="21"/>
      <c r="AS24" s="22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</row>
    <row r="25" spans="1:65" ht="18.75" x14ac:dyDescent="0.35">
      <c r="A25" s="21"/>
      <c r="B25" s="145">
        <v>6.1</v>
      </c>
      <c r="C25" s="32">
        <v>1</v>
      </c>
      <c r="D25" s="1" t="s">
        <v>141</v>
      </c>
      <c r="E25" s="32" t="s">
        <v>141</v>
      </c>
      <c r="F25" s="104" t="str">
        <f>IF(VerticalRebarNumber&lt;&gt;Choices!D26,"",HLOOKUP(BlockNum,$G$24:$K$31,2))</f>
        <v/>
      </c>
      <c r="G25" s="129">
        <f>J25</f>
        <v>0</v>
      </c>
      <c r="H25" s="129">
        <f>K25</f>
        <v>0</v>
      </c>
      <c r="I25" s="129">
        <f>L25</f>
        <v>0</v>
      </c>
      <c r="J25" s="129">
        <f>$N25*T25</f>
        <v>0</v>
      </c>
      <c r="K25" s="129">
        <f t="shared" ref="K25:L25" si="26">$N25*U25</f>
        <v>0</v>
      </c>
      <c r="L25" s="129">
        <f t="shared" si="26"/>
        <v>0</v>
      </c>
      <c r="M25" s="33" t="s">
        <v>62</v>
      </c>
      <c r="N25" s="8">
        <f t="shared" ref="N25:N31" si="27">RebarCO2</f>
        <v>854</v>
      </c>
      <c r="O25" s="31" t="s">
        <v>64</v>
      </c>
      <c r="P25" s="33"/>
      <c r="Q25" s="130">
        <f>T25</f>
        <v>0</v>
      </c>
      <c r="R25" s="131">
        <f t="shared" ref="R25" si="28">U25</f>
        <v>0</v>
      </c>
      <c r="S25" s="132">
        <f t="shared" ref="S25" si="29">V25</f>
        <v>0</v>
      </c>
      <c r="T25" s="45">
        <f t="shared" ref="T25" si="30">AC25*BlockPerM2/1000</f>
        <v>0</v>
      </c>
      <c r="U25" s="45">
        <f t="shared" ref="U25" si="31">AD25*BlockPerM2/1000</f>
        <v>0</v>
      </c>
      <c r="V25" s="45">
        <f t="shared" ref="V25" si="32">AE25*BlockPerM2/1000</f>
        <v>0</v>
      </c>
      <c r="W25" s="33" t="s">
        <v>68</v>
      </c>
      <c r="X25" s="21"/>
      <c r="Y25" s="21"/>
      <c r="Z25" s="130">
        <f>AC25</f>
        <v>0</v>
      </c>
      <c r="AA25" s="131">
        <f t="shared" si="23"/>
        <v>0</v>
      </c>
      <c r="AB25" s="132">
        <f t="shared" si="24"/>
        <v>0</v>
      </c>
      <c r="AC25" s="45">
        <v>0</v>
      </c>
      <c r="AD25" s="45">
        <v>0</v>
      </c>
      <c r="AE25" s="45">
        <v>0</v>
      </c>
      <c r="AF25" s="33" t="s">
        <v>60</v>
      </c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2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5"/>
      <c r="BJ25" s="185"/>
      <c r="BK25" s="185"/>
      <c r="BL25" s="185"/>
      <c r="BM25" s="185"/>
    </row>
    <row r="26" spans="1:65" ht="18.75" x14ac:dyDescent="0.35">
      <c r="A26" s="21"/>
      <c r="B26" s="145">
        <v>6.2</v>
      </c>
      <c r="C26" s="32">
        <v>2</v>
      </c>
      <c r="D26" s="1" t="s">
        <v>142</v>
      </c>
      <c r="E26" s="32" t="s">
        <v>142</v>
      </c>
      <c r="F26" s="104">
        <f>IF(VerticalRebarNumber&lt;&gt;Choices!D27,"",HLOOKUP(BlockNum,$G$24:$K$31,3))</f>
        <v>16.973249999999997</v>
      </c>
      <c r="G26" s="129">
        <f t="shared" ref="G26:G31" si="33">J26</f>
        <v>16.973249999999997</v>
      </c>
      <c r="H26" s="129">
        <f t="shared" ref="H26:H31" si="34">K26</f>
        <v>21.606199999999998</v>
      </c>
      <c r="I26" s="129">
        <f t="shared" ref="I26:I31" si="35">L26</f>
        <v>33.754349999999995</v>
      </c>
      <c r="J26" s="129">
        <f t="shared" ref="J26:J31" si="36">$N26*T26</f>
        <v>16.973249999999997</v>
      </c>
      <c r="K26" s="129">
        <f t="shared" ref="K26:K31" si="37">$N26*U26</f>
        <v>21.606199999999998</v>
      </c>
      <c r="L26" s="129">
        <f t="shared" ref="L26:L31" si="38">$N26*V26</f>
        <v>33.754349999999995</v>
      </c>
      <c r="M26" s="33" t="s">
        <v>62</v>
      </c>
      <c r="N26" s="8">
        <f t="shared" si="27"/>
        <v>854</v>
      </c>
      <c r="O26" s="31" t="s">
        <v>64</v>
      </c>
      <c r="P26" s="33"/>
      <c r="Q26" s="130">
        <f>T26</f>
        <v>1.9874999999999997E-2</v>
      </c>
      <c r="R26" s="131">
        <f t="shared" ref="R26" si="39">U26</f>
        <v>2.5299999999999996E-2</v>
      </c>
      <c r="S26" s="132">
        <f t="shared" ref="S26" si="40">V26</f>
        <v>3.9524999999999998E-2</v>
      </c>
      <c r="T26" s="45">
        <f t="shared" ref="T26" si="41">AC26*BlockPerM2/1000</f>
        <v>1.9874999999999997E-2</v>
      </c>
      <c r="U26" s="45">
        <f t="shared" ref="U26" si="42">AD26*BlockPerM2/1000</f>
        <v>2.5299999999999996E-2</v>
      </c>
      <c r="V26" s="45">
        <f t="shared" ref="V26" si="43">AE26*BlockPerM2/1000</f>
        <v>3.9524999999999998E-2</v>
      </c>
      <c r="W26" s="33" t="s">
        <v>68</v>
      </c>
      <c r="X26" s="21"/>
      <c r="Y26" s="21"/>
      <c r="Z26" s="130">
        <f>AC26</f>
        <v>1.59</v>
      </c>
      <c r="AA26" s="131">
        <f t="shared" ref="AA26" si="44">AD26</f>
        <v>2.024</v>
      </c>
      <c r="AB26" s="132">
        <f t="shared" ref="AB26" si="45">AE26</f>
        <v>3.1620000000000004</v>
      </c>
      <c r="AC26" s="45">
        <f>AC$33*BlockUnitHeight*2</f>
        <v>1.59</v>
      </c>
      <c r="AD26" s="45">
        <f>AD$33*BlockUnitHeight*2</f>
        <v>2.024</v>
      </c>
      <c r="AE26" s="45">
        <f>AE$33*BlockUnitHeight*2</f>
        <v>3.1620000000000004</v>
      </c>
      <c r="AF26" s="33" t="s">
        <v>60</v>
      </c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2"/>
      <c r="AT26" s="185"/>
      <c r="AU26" s="185"/>
      <c r="AV26" s="185"/>
      <c r="AW26" s="185"/>
      <c r="AX26" s="185"/>
      <c r="AY26" s="185"/>
      <c r="AZ26" s="185"/>
      <c r="BA26" s="185"/>
      <c r="BB26" s="185"/>
      <c r="BC26" s="185"/>
      <c r="BD26" s="185"/>
      <c r="BE26" s="185"/>
      <c r="BF26" s="185"/>
      <c r="BG26" s="185"/>
      <c r="BH26" s="185"/>
      <c r="BI26" s="185"/>
      <c r="BJ26" s="185"/>
      <c r="BK26" s="185"/>
      <c r="BL26" s="185"/>
      <c r="BM26" s="185"/>
    </row>
    <row r="27" spans="1:65" ht="18.75" x14ac:dyDescent="0.35">
      <c r="A27" s="21"/>
      <c r="B27" s="145">
        <v>6.3</v>
      </c>
      <c r="C27" s="32">
        <v>3</v>
      </c>
      <c r="D27" s="1" t="s">
        <v>146</v>
      </c>
      <c r="E27" s="32" t="s">
        <v>143</v>
      </c>
      <c r="F27" s="104" t="str">
        <f>IF(VerticalRebarNumber&lt;&gt;Choices!D28,"",HLOOKUP(BlockNum,$G$24:$K$31,4))</f>
        <v/>
      </c>
      <c r="G27" s="129">
        <f t="shared" si="33"/>
        <v>8.4866249999999983</v>
      </c>
      <c r="H27" s="129">
        <f t="shared" si="34"/>
        <v>10.803099999999999</v>
      </c>
      <c r="I27" s="129">
        <f t="shared" si="35"/>
        <v>16.877174999999998</v>
      </c>
      <c r="J27" s="129">
        <f t="shared" si="36"/>
        <v>8.4866249999999983</v>
      </c>
      <c r="K27" s="129">
        <f t="shared" si="37"/>
        <v>10.803099999999999</v>
      </c>
      <c r="L27" s="129">
        <f t="shared" si="38"/>
        <v>16.877174999999998</v>
      </c>
      <c r="M27" s="33" t="s">
        <v>62</v>
      </c>
      <c r="N27" s="8">
        <f t="shared" si="27"/>
        <v>854</v>
      </c>
      <c r="O27" s="31" t="s">
        <v>64</v>
      </c>
      <c r="P27" s="33"/>
      <c r="Q27" s="130">
        <f t="shared" ref="Q27:Q31" si="46">T27</f>
        <v>9.9374999999999984E-3</v>
      </c>
      <c r="R27" s="131">
        <f t="shared" ref="R27:R31" si="47">U27</f>
        <v>1.2649999999999998E-2</v>
      </c>
      <c r="S27" s="132">
        <f t="shared" ref="S27:S31" si="48">V27</f>
        <v>1.9762499999999999E-2</v>
      </c>
      <c r="T27" s="45">
        <f t="shared" ref="T27:T31" si="49">AC27*BlockPerM2/1000</f>
        <v>9.9374999999999984E-3</v>
      </c>
      <c r="U27" s="45">
        <f t="shared" ref="U27:U31" si="50">AD27*BlockPerM2/1000</f>
        <v>1.2649999999999998E-2</v>
      </c>
      <c r="V27" s="45">
        <f t="shared" ref="V27:V31" si="51">AE27*BlockPerM2/1000</f>
        <v>1.9762499999999999E-2</v>
      </c>
      <c r="W27" s="33" t="s">
        <v>68</v>
      </c>
      <c r="X27" s="21"/>
      <c r="Y27" s="21"/>
      <c r="Z27" s="130">
        <f t="shared" ref="Z27:Z31" si="52">AC27</f>
        <v>0.79500000000000004</v>
      </c>
      <c r="AA27" s="131">
        <f t="shared" ref="AA27:AA31" si="53">AD27</f>
        <v>1.012</v>
      </c>
      <c r="AB27" s="132">
        <f t="shared" ref="AB27:AB31" si="54">AE27</f>
        <v>1.5810000000000002</v>
      </c>
      <c r="AC27" s="45">
        <f>AC26/2</f>
        <v>0.79500000000000004</v>
      </c>
      <c r="AD27" s="45">
        <f t="shared" ref="AD27:AE27" si="55">AD26/2</f>
        <v>1.012</v>
      </c>
      <c r="AE27" s="45">
        <f t="shared" si="55"/>
        <v>1.5810000000000002</v>
      </c>
      <c r="AF27" s="33" t="s">
        <v>60</v>
      </c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2"/>
      <c r="AT27" s="185"/>
      <c r="AU27" s="185"/>
      <c r="AV27" s="185"/>
      <c r="AW27" s="185"/>
      <c r="AX27" s="185"/>
      <c r="AY27" s="185"/>
      <c r="AZ27" s="185"/>
      <c r="BA27" s="185"/>
      <c r="BB27" s="185"/>
      <c r="BC27" s="185"/>
      <c r="BD27" s="185"/>
      <c r="BE27" s="185"/>
      <c r="BF27" s="185"/>
      <c r="BG27" s="185"/>
      <c r="BH27" s="185"/>
      <c r="BI27" s="185"/>
      <c r="BJ27" s="185"/>
      <c r="BK27" s="185"/>
      <c r="BL27" s="185"/>
      <c r="BM27" s="185"/>
    </row>
    <row r="28" spans="1:65" ht="18.75" x14ac:dyDescent="0.35">
      <c r="A28" s="21"/>
      <c r="B28" s="145">
        <v>6.4</v>
      </c>
      <c r="C28" s="32">
        <v>4</v>
      </c>
      <c r="D28" s="1" t="s">
        <v>147</v>
      </c>
      <c r="E28" s="32" t="s">
        <v>144</v>
      </c>
      <c r="F28" s="104" t="str">
        <f>IF(VerticalRebarNumber&lt;&gt;Choices!D29,"",HLOOKUP(BlockNum,$G$24:$K$31,5))</f>
        <v/>
      </c>
      <c r="G28" s="129">
        <f t="shared" si="33"/>
        <v>5.6577499999999992</v>
      </c>
      <c r="H28" s="129">
        <f t="shared" si="34"/>
        <v>7.2020666666666662</v>
      </c>
      <c r="I28" s="129">
        <f t="shared" si="35"/>
        <v>11.25145</v>
      </c>
      <c r="J28" s="129">
        <f t="shared" si="36"/>
        <v>5.6577499999999992</v>
      </c>
      <c r="K28" s="129">
        <f t="shared" si="37"/>
        <v>7.2020666666666662</v>
      </c>
      <c r="L28" s="129">
        <f t="shared" si="38"/>
        <v>11.25145</v>
      </c>
      <c r="M28" s="33" t="s">
        <v>62</v>
      </c>
      <c r="N28" s="8">
        <f t="shared" si="27"/>
        <v>854</v>
      </c>
      <c r="O28" s="31" t="s">
        <v>64</v>
      </c>
      <c r="P28" s="33"/>
      <c r="Q28" s="130">
        <f t="shared" si="46"/>
        <v>6.6249999999999989E-3</v>
      </c>
      <c r="R28" s="131">
        <f t="shared" si="47"/>
        <v>8.4333333333333326E-3</v>
      </c>
      <c r="S28" s="132">
        <f t="shared" si="48"/>
        <v>1.3174999999999999E-2</v>
      </c>
      <c r="T28" s="45">
        <f t="shared" si="49"/>
        <v>6.6249999999999989E-3</v>
      </c>
      <c r="U28" s="45">
        <f t="shared" si="50"/>
        <v>8.4333333333333326E-3</v>
      </c>
      <c r="V28" s="45">
        <f t="shared" si="51"/>
        <v>1.3174999999999999E-2</v>
      </c>
      <c r="W28" s="33" t="s">
        <v>68</v>
      </c>
      <c r="X28" s="21"/>
      <c r="Y28" s="21"/>
      <c r="Z28" s="130">
        <f t="shared" si="52"/>
        <v>0.53</v>
      </c>
      <c r="AA28" s="131">
        <f t="shared" si="53"/>
        <v>0.67466666666666664</v>
      </c>
      <c r="AB28" s="132">
        <f t="shared" si="54"/>
        <v>1.054</v>
      </c>
      <c r="AC28" s="45">
        <f>AC26/3</f>
        <v>0.53</v>
      </c>
      <c r="AD28" s="45">
        <f t="shared" ref="AD28:AE28" si="56">AD26/3</f>
        <v>0.67466666666666664</v>
      </c>
      <c r="AE28" s="45">
        <f t="shared" si="56"/>
        <v>1.054</v>
      </c>
      <c r="AF28" s="33" t="s">
        <v>60</v>
      </c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2"/>
      <c r="AT28" s="185"/>
      <c r="AU28" s="185"/>
      <c r="AV28" s="185"/>
      <c r="AW28" s="185"/>
      <c r="AX28" s="185"/>
      <c r="AY28" s="185"/>
      <c r="AZ28" s="185"/>
      <c r="BA28" s="185"/>
      <c r="BB28" s="185"/>
      <c r="BC28" s="185"/>
      <c r="BD28" s="185"/>
      <c r="BE28" s="185"/>
      <c r="BF28" s="185"/>
      <c r="BG28" s="185"/>
      <c r="BH28" s="185"/>
      <c r="BI28" s="185"/>
      <c r="BJ28" s="185"/>
      <c r="BK28" s="185"/>
      <c r="BL28" s="185"/>
      <c r="BM28" s="185"/>
    </row>
    <row r="29" spans="1:65" ht="18.75" x14ac:dyDescent="0.35">
      <c r="A29" s="21"/>
      <c r="B29" s="145">
        <v>6.5</v>
      </c>
      <c r="C29" s="32">
        <v>5</v>
      </c>
      <c r="D29" s="1" t="s">
        <v>148</v>
      </c>
      <c r="E29" s="32" t="s">
        <v>145</v>
      </c>
      <c r="F29" s="104" t="str">
        <f>IF(VerticalRebarNumber&lt;&gt;Choices!D30,"",HLOOKUP(BlockNum,$G$24:$K$31,6))</f>
        <v/>
      </c>
      <c r="G29" s="129">
        <f t="shared" si="33"/>
        <v>4.2433124999999992</v>
      </c>
      <c r="H29" s="129">
        <f t="shared" si="34"/>
        <v>5.4015499999999994</v>
      </c>
      <c r="I29" s="129">
        <f t="shared" si="35"/>
        <v>8.4385874999999988</v>
      </c>
      <c r="J29" s="129">
        <f t="shared" si="36"/>
        <v>4.2433124999999992</v>
      </c>
      <c r="K29" s="129">
        <f t="shared" si="37"/>
        <v>5.4015499999999994</v>
      </c>
      <c r="L29" s="129">
        <f t="shared" si="38"/>
        <v>8.4385874999999988</v>
      </c>
      <c r="M29" s="33" t="s">
        <v>62</v>
      </c>
      <c r="N29" s="8">
        <f t="shared" si="27"/>
        <v>854</v>
      </c>
      <c r="O29" s="31" t="s">
        <v>64</v>
      </c>
      <c r="P29" s="33"/>
      <c r="Q29" s="130">
        <f t="shared" si="46"/>
        <v>4.9687499999999992E-3</v>
      </c>
      <c r="R29" s="131">
        <f t="shared" si="47"/>
        <v>6.324999999999999E-3</v>
      </c>
      <c r="S29" s="132">
        <f t="shared" si="48"/>
        <v>9.8812499999999994E-3</v>
      </c>
      <c r="T29" s="45">
        <f t="shared" si="49"/>
        <v>4.9687499999999992E-3</v>
      </c>
      <c r="U29" s="45">
        <f t="shared" si="50"/>
        <v>6.324999999999999E-3</v>
      </c>
      <c r="V29" s="45">
        <f t="shared" si="51"/>
        <v>9.8812499999999994E-3</v>
      </c>
      <c r="W29" s="33" t="s">
        <v>68</v>
      </c>
      <c r="X29" s="21"/>
      <c r="Y29" s="21"/>
      <c r="Z29" s="130">
        <f t="shared" si="52"/>
        <v>0.39750000000000002</v>
      </c>
      <c r="AA29" s="131">
        <f t="shared" si="53"/>
        <v>0.50600000000000001</v>
      </c>
      <c r="AB29" s="132">
        <f t="shared" si="54"/>
        <v>0.79050000000000009</v>
      </c>
      <c r="AC29" s="45">
        <f>AC26/4</f>
        <v>0.39750000000000002</v>
      </c>
      <c r="AD29" s="45">
        <f t="shared" ref="AD29:AE29" si="57">AD26/4</f>
        <v>0.50600000000000001</v>
      </c>
      <c r="AE29" s="45">
        <f t="shared" si="57"/>
        <v>0.79050000000000009</v>
      </c>
      <c r="AF29" s="33" t="s">
        <v>60</v>
      </c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2"/>
      <c r="AT29" s="185"/>
      <c r="AU29" s="185"/>
      <c r="AV29" s="18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5"/>
      <c r="BM29" s="185"/>
    </row>
    <row r="30" spans="1:65" ht="18.75" x14ac:dyDescent="0.35">
      <c r="A30" s="21"/>
      <c r="B30" s="145">
        <v>6.6</v>
      </c>
      <c r="C30" s="32">
        <v>6</v>
      </c>
      <c r="D30" s="1" t="s">
        <v>149</v>
      </c>
      <c r="E30" s="32" t="s">
        <v>151</v>
      </c>
      <c r="F30" s="104" t="str">
        <f>IF(VerticalRebarNumber&lt;&gt;Choices!D31,"",HLOOKUP(BlockNum,$G$24:$K$31,7))</f>
        <v/>
      </c>
      <c r="G30" s="129">
        <f t="shared" si="33"/>
        <v>3.3946499999999995</v>
      </c>
      <c r="H30" s="129">
        <f t="shared" si="34"/>
        <v>4.3212399999999995</v>
      </c>
      <c r="I30" s="129">
        <f t="shared" si="35"/>
        <v>6.750869999999999</v>
      </c>
      <c r="J30" s="129">
        <f t="shared" si="36"/>
        <v>3.3946499999999995</v>
      </c>
      <c r="K30" s="129">
        <f t="shared" si="37"/>
        <v>4.3212399999999995</v>
      </c>
      <c r="L30" s="129">
        <f t="shared" si="38"/>
        <v>6.750869999999999</v>
      </c>
      <c r="M30" s="33" t="s">
        <v>62</v>
      </c>
      <c r="N30" s="8">
        <f t="shared" si="27"/>
        <v>854</v>
      </c>
      <c r="O30" s="31" t="s">
        <v>64</v>
      </c>
      <c r="P30" s="33"/>
      <c r="Q30" s="130">
        <f t="shared" si="46"/>
        <v>3.9749999999999994E-3</v>
      </c>
      <c r="R30" s="131">
        <f t="shared" si="47"/>
        <v>5.0599999999999994E-3</v>
      </c>
      <c r="S30" s="132">
        <f t="shared" si="48"/>
        <v>7.9049999999999988E-3</v>
      </c>
      <c r="T30" s="45">
        <f t="shared" si="49"/>
        <v>3.9749999999999994E-3</v>
      </c>
      <c r="U30" s="45">
        <f t="shared" si="50"/>
        <v>5.0599999999999994E-3</v>
      </c>
      <c r="V30" s="45">
        <f t="shared" si="51"/>
        <v>7.9049999999999988E-3</v>
      </c>
      <c r="W30" s="33" t="s">
        <v>68</v>
      </c>
      <c r="X30" s="21"/>
      <c r="Y30" s="21"/>
      <c r="Z30" s="130">
        <f t="shared" si="52"/>
        <v>0.318</v>
      </c>
      <c r="AA30" s="131">
        <f t="shared" si="53"/>
        <v>0.40479999999999999</v>
      </c>
      <c r="AB30" s="132">
        <f t="shared" si="54"/>
        <v>0.63240000000000007</v>
      </c>
      <c r="AC30" s="45">
        <f>AC26/5</f>
        <v>0.318</v>
      </c>
      <c r="AD30" s="45">
        <f t="shared" ref="AD30:AE30" si="58">AD26/5</f>
        <v>0.40479999999999999</v>
      </c>
      <c r="AE30" s="45">
        <f t="shared" si="58"/>
        <v>0.63240000000000007</v>
      </c>
      <c r="AF30" s="33" t="s">
        <v>60</v>
      </c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2"/>
      <c r="AT30" s="185"/>
      <c r="AU30" s="185"/>
      <c r="AV30" s="185"/>
      <c r="AW30" s="185"/>
      <c r="AX30" s="185"/>
      <c r="AY30" s="185"/>
      <c r="AZ30" s="185"/>
      <c r="BA30" s="185"/>
      <c r="BB30" s="185"/>
      <c r="BC30" s="185"/>
      <c r="BD30" s="185"/>
      <c r="BE30" s="185"/>
      <c r="BF30" s="185"/>
      <c r="BG30" s="185"/>
      <c r="BH30" s="185"/>
      <c r="BI30" s="185"/>
      <c r="BJ30" s="185"/>
      <c r="BK30" s="185"/>
      <c r="BL30" s="185"/>
      <c r="BM30" s="185"/>
    </row>
    <row r="31" spans="1:65" ht="18.75" x14ac:dyDescent="0.35">
      <c r="A31" s="21"/>
      <c r="B31" s="145">
        <v>6.7</v>
      </c>
      <c r="C31" s="32">
        <v>7</v>
      </c>
      <c r="D31" s="1" t="s">
        <v>150</v>
      </c>
      <c r="E31" s="32" t="s">
        <v>152</v>
      </c>
      <c r="F31" s="104" t="str">
        <f>IF(VerticalRebarNumber&lt;&gt;Choices!D32,"",HLOOKUP(BlockNum,$G$24:$K$31,8))</f>
        <v/>
      </c>
      <c r="G31" s="129">
        <f t="shared" si="33"/>
        <v>2.8288749999999996</v>
      </c>
      <c r="H31" s="129">
        <f t="shared" si="34"/>
        <v>3.6010333333333331</v>
      </c>
      <c r="I31" s="129">
        <f t="shared" si="35"/>
        <v>5.6257250000000001</v>
      </c>
      <c r="J31" s="129">
        <f t="shared" si="36"/>
        <v>2.8288749999999996</v>
      </c>
      <c r="K31" s="129">
        <f t="shared" si="37"/>
        <v>3.6010333333333331</v>
      </c>
      <c r="L31" s="129">
        <f t="shared" si="38"/>
        <v>5.6257250000000001</v>
      </c>
      <c r="M31" s="33" t="s">
        <v>62</v>
      </c>
      <c r="N31" s="8">
        <f t="shared" si="27"/>
        <v>854</v>
      </c>
      <c r="O31" s="31" t="s">
        <v>64</v>
      </c>
      <c r="P31" s="33"/>
      <c r="Q31" s="130">
        <f t="shared" si="46"/>
        <v>3.3124999999999995E-3</v>
      </c>
      <c r="R31" s="131">
        <f t="shared" si="47"/>
        <v>4.2166666666666663E-3</v>
      </c>
      <c r="S31" s="132">
        <f t="shared" si="48"/>
        <v>6.5874999999999996E-3</v>
      </c>
      <c r="T31" s="45">
        <f t="shared" si="49"/>
        <v>3.3124999999999995E-3</v>
      </c>
      <c r="U31" s="45">
        <f t="shared" si="50"/>
        <v>4.2166666666666663E-3</v>
      </c>
      <c r="V31" s="45">
        <f t="shared" si="51"/>
        <v>6.5874999999999996E-3</v>
      </c>
      <c r="W31" s="33" t="s">
        <v>68</v>
      </c>
      <c r="X31" s="21"/>
      <c r="Y31" s="21"/>
      <c r="Z31" s="130">
        <f t="shared" si="52"/>
        <v>0.26500000000000001</v>
      </c>
      <c r="AA31" s="131">
        <f t="shared" si="53"/>
        <v>0.33733333333333332</v>
      </c>
      <c r="AB31" s="132">
        <f t="shared" si="54"/>
        <v>0.52700000000000002</v>
      </c>
      <c r="AC31" s="45">
        <f>AC26/6</f>
        <v>0.26500000000000001</v>
      </c>
      <c r="AD31" s="45">
        <f t="shared" ref="AD31:AE31" si="59">AD26/6</f>
        <v>0.33733333333333332</v>
      </c>
      <c r="AE31" s="45">
        <f t="shared" si="59"/>
        <v>0.52700000000000002</v>
      </c>
      <c r="AF31" s="33" t="s">
        <v>60</v>
      </c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2"/>
      <c r="AT31" s="185"/>
      <c r="AU31" s="185"/>
      <c r="AV31" s="185"/>
      <c r="AW31" s="185"/>
      <c r="AX31" s="185"/>
      <c r="AY31" s="185"/>
      <c r="AZ31" s="185"/>
      <c r="BA31" s="185"/>
      <c r="BB31" s="185"/>
      <c r="BC31" s="185"/>
      <c r="BD31" s="185"/>
      <c r="BE31" s="185"/>
      <c r="BF31" s="185"/>
      <c r="BG31" s="185"/>
      <c r="BH31" s="185"/>
      <c r="BI31" s="185"/>
      <c r="BJ31" s="185"/>
      <c r="BK31" s="185"/>
      <c r="BL31" s="185"/>
      <c r="BM31" s="185"/>
    </row>
    <row r="32" spans="1:65" x14ac:dyDescent="0.25">
      <c r="A32" s="21"/>
      <c r="B32" s="32"/>
      <c r="C32" s="32"/>
      <c r="D32" s="22"/>
      <c r="E32" s="22"/>
      <c r="F32" s="34"/>
      <c r="G32" s="33"/>
      <c r="H32" s="33"/>
      <c r="I32" s="33"/>
      <c r="J32" s="33"/>
      <c r="K32" s="33"/>
      <c r="L32" s="33"/>
      <c r="M32" s="33"/>
      <c r="N32" s="37"/>
      <c r="O32" s="31"/>
      <c r="P32" s="33"/>
      <c r="Q32" s="29"/>
      <c r="R32" s="29"/>
      <c r="S32" s="21"/>
      <c r="T32" s="21"/>
      <c r="U32" s="21"/>
      <c r="V32" s="21"/>
      <c r="W32" s="21"/>
      <c r="X32" s="21"/>
      <c r="Y32" s="21"/>
      <c r="Z32" s="32" t="s">
        <v>13</v>
      </c>
      <c r="AA32" s="32" t="s">
        <v>12</v>
      </c>
      <c r="AB32" s="32" t="s">
        <v>14</v>
      </c>
      <c r="AC32" s="32" t="s">
        <v>13</v>
      </c>
      <c r="AD32" s="32" t="s">
        <v>12</v>
      </c>
      <c r="AE32" s="32" t="s">
        <v>14</v>
      </c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2"/>
      <c r="AT32" s="185"/>
      <c r="AU32" s="185"/>
      <c r="AV32" s="185"/>
      <c r="AW32" s="185"/>
      <c r="AX32" s="185"/>
      <c r="AY32" s="185"/>
      <c r="AZ32" s="185"/>
      <c r="BA32" s="185"/>
      <c r="BB32" s="185"/>
      <c r="BC32" s="185"/>
      <c r="BD32" s="185"/>
      <c r="BE32" s="185"/>
      <c r="BF32" s="185"/>
      <c r="BG32" s="185"/>
      <c r="BH32" s="185"/>
      <c r="BI32" s="185"/>
      <c r="BJ32" s="185"/>
      <c r="BK32" s="185"/>
      <c r="BL32" s="185"/>
      <c r="BM32" s="185"/>
    </row>
    <row r="33" spans="1:65" x14ac:dyDescent="0.25">
      <c r="A33" s="21"/>
      <c r="B33" s="22"/>
      <c r="C33" s="38" t="s">
        <v>111</v>
      </c>
      <c r="D33" s="149">
        <f>HorizontalRebarNumber</f>
        <v>2</v>
      </c>
      <c r="E33" s="22"/>
      <c r="F33" s="34"/>
      <c r="G33" s="32">
        <f>G$8</f>
        <v>1</v>
      </c>
      <c r="H33" s="32">
        <f t="shared" ref="H33:L33" si="60">H$8</f>
        <v>2</v>
      </c>
      <c r="I33" s="32">
        <f t="shared" si="60"/>
        <v>3</v>
      </c>
      <c r="J33" s="32">
        <f t="shared" si="60"/>
        <v>4</v>
      </c>
      <c r="K33" s="32">
        <f t="shared" si="60"/>
        <v>5</v>
      </c>
      <c r="L33" s="32">
        <f t="shared" si="60"/>
        <v>6</v>
      </c>
      <c r="M33" s="33"/>
      <c r="N33" s="37"/>
      <c r="O33" s="33"/>
      <c r="P33" s="33"/>
      <c r="Q33" s="21"/>
      <c r="R33" s="21"/>
      <c r="S33" s="21"/>
      <c r="T33" s="21"/>
      <c r="U33" s="21"/>
      <c r="V33" s="21"/>
      <c r="W33" s="21"/>
      <c r="X33" s="21"/>
      <c r="Y33" s="21"/>
      <c r="Z33" s="22">
        <f>AC33</f>
        <v>3.9750000000000001</v>
      </c>
      <c r="AA33" s="22">
        <f t="shared" ref="AA33:AB34" si="61">AD33</f>
        <v>5.0599999999999996</v>
      </c>
      <c r="AB33" s="22">
        <f t="shared" si="61"/>
        <v>7.9050000000000002</v>
      </c>
      <c r="AC33" s="51">
        <v>3.9750000000000001</v>
      </c>
      <c r="AD33" s="51">
        <v>5.0599999999999996</v>
      </c>
      <c r="AE33" s="51">
        <v>7.9050000000000002</v>
      </c>
      <c r="AF33" s="31" t="s">
        <v>26</v>
      </c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185"/>
      <c r="AU33" s="185"/>
      <c r="AV33" s="185"/>
      <c r="AW33" s="185"/>
      <c r="AX33" s="185"/>
      <c r="AY33" s="185"/>
      <c r="AZ33" s="185"/>
      <c r="BA33" s="185"/>
      <c r="BB33" s="185"/>
      <c r="BC33" s="185"/>
      <c r="BD33" s="185"/>
      <c r="BE33" s="185"/>
      <c r="BF33" s="185"/>
      <c r="BG33" s="185"/>
      <c r="BH33" s="185"/>
      <c r="BI33" s="185"/>
      <c r="BJ33" s="185"/>
      <c r="BK33" s="185"/>
      <c r="BL33" s="185"/>
      <c r="BM33" s="185"/>
    </row>
    <row r="34" spans="1:65" ht="18.75" x14ac:dyDescent="0.35">
      <c r="A34" s="21"/>
      <c r="B34" s="147">
        <v>7.1</v>
      </c>
      <c r="C34" s="32">
        <v>1</v>
      </c>
      <c r="D34" s="1" t="s">
        <v>141</v>
      </c>
      <c r="E34" s="32" t="s">
        <v>141</v>
      </c>
      <c r="F34" s="104" t="str">
        <f>IF(HorizontalRebarNumber&lt;&gt;Choices!D34,"",HLOOKUP(BlockNum,$G$33:$L$37,2))</f>
        <v/>
      </c>
      <c r="G34" s="129">
        <f>J34</f>
        <v>0</v>
      </c>
      <c r="H34" s="129">
        <f>K34</f>
        <v>0</v>
      </c>
      <c r="I34" s="129">
        <f>L34</f>
        <v>0</v>
      </c>
      <c r="J34" s="129">
        <f>$N34*T34</f>
        <v>0</v>
      </c>
      <c r="K34" s="129">
        <f t="shared" ref="K34:L37" si="62">$N34*U34</f>
        <v>0</v>
      </c>
      <c r="L34" s="129">
        <f t="shared" si="62"/>
        <v>0</v>
      </c>
      <c r="M34" s="33" t="s">
        <v>62</v>
      </c>
      <c r="N34" s="8">
        <f>RebarCO2</f>
        <v>854</v>
      </c>
      <c r="O34" s="31" t="s">
        <v>64</v>
      </c>
      <c r="P34" s="31"/>
      <c r="Q34" s="130">
        <f>T34</f>
        <v>0</v>
      </c>
      <c r="R34" s="131">
        <f t="shared" ref="R34:S34" si="63">U34</f>
        <v>0</v>
      </c>
      <c r="S34" s="132">
        <f t="shared" si="63"/>
        <v>0</v>
      </c>
      <c r="T34" s="45">
        <f t="shared" ref="T34:V34" si="64">AC34*BlockPerM2/1000</f>
        <v>0</v>
      </c>
      <c r="U34" s="45">
        <f t="shared" si="64"/>
        <v>0</v>
      </c>
      <c r="V34" s="45">
        <f t="shared" si="64"/>
        <v>0</v>
      </c>
      <c r="W34" s="33" t="s">
        <v>68</v>
      </c>
      <c r="X34" s="21"/>
      <c r="Y34" s="21"/>
      <c r="Z34" s="130">
        <f>AC34</f>
        <v>0</v>
      </c>
      <c r="AA34" s="131">
        <f t="shared" si="61"/>
        <v>0</v>
      </c>
      <c r="AB34" s="132">
        <f t="shared" si="61"/>
        <v>0</v>
      </c>
      <c r="AC34" s="45">
        <v>0</v>
      </c>
      <c r="AD34" s="45">
        <v>0</v>
      </c>
      <c r="AE34" s="45">
        <v>0</v>
      </c>
      <c r="AF34" s="33" t="s">
        <v>60</v>
      </c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185"/>
      <c r="AU34" s="185"/>
      <c r="AV34" s="185"/>
      <c r="AW34" s="185"/>
      <c r="AX34" s="185"/>
      <c r="AY34" s="185"/>
      <c r="AZ34" s="185"/>
      <c r="BA34" s="185"/>
      <c r="BB34" s="185"/>
      <c r="BC34" s="185"/>
      <c r="BD34" s="185"/>
      <c r="BE34" s="185"/>
      <c r="BF34" s="185"/>
      <c r="BG34" s="185"/>
      <c r="BH34" s="185"/>
      <c r="BI34" s="185"/>
      <c r="BJ34" s="185"/>
      <c r="BK34" s="185"/>
      <c r="BL34" s="185"/>
      <c r="BM34" s="185"/>
    </row>
    <row r="35" spans="1:65" ht="18.75" x14ac:dyDescent="0.35">
      <c r="A35" s="21"/>
      <c r="B35" s="147">
        <v>7.2</v>
      </c>
      <c r="C35" s="32">
        <v>2</v>
      </c>
      <c r="D35" s="1" t="s">
        <v>147</v>
      </c>
      <c r="E35" s="32" t="s">
        <v>144</v>
      </c>
      <c r="F35" s="104">
        <f>IF(HorizontalRebarNumber&lt;&gt;Choices!D35,"",HLOOKUP(BlockNum,$G$33:$L$37,3))</f>
        <v>5.6577499999999992</v>
      </c>
      <c r="G35" s="129">
        <f t="shared" ref="G35:G37" si="65">J35</f>
        <v>5.6577499999999992</v>
      </c>
      <c r="H35" s="129">
        <f t="shared" ref="H35:H37" si="66">K35</f>
        <v>7.2020666666666662</v>
      </c>
      <c r="I35" s="129">
        <f t="shared" ref="I35:I37" si="67">L35</f>
        <v>11.25145</v>
      </c>
      <c r="J35" s="129">
        <f>$N35*T35</f>
        <v>5.6577499999999992</v>
      </c>
      <c r="K35" s="129">
        <f t="shared" si="62"/>
        <v>7.2020666666666662</v>
      </c>
      <c r="L35" s="129">
        <f t="shared" si="62"/>
        <v>11.25145</v>
      </c>
      <c r="M35" s="33" t="s">
        <v>62</v>
      </c>
      <c r="N35" s="8">
        <f>RebarCO2</f>
        <v>854</v>
      </c>
      <c r="O35" s="31" t="s">
        <v>64</v>
      </c>
      <c r="P35" s="31"/>
      <c r="Q35" s="130">
        <f t="shared" ref="Q35:Q37" si="68">T35</f>
        <v>6.6249999999999989E-3</v>
      </c>
      <c r="R35" s="131">
        <f t="shared" ref="R35:R37" si="69">U35</f>
        <v>8.4333333333333326E-3</v>
      </c>
      <c r="S35" s="132">
        <f t="shared" ref="S35:S37" si="70">V35</f>
        <v>1.3174999999999999E-2</v>
      </c>
      <c r="T35" s="45">
        <f t="shared" ref="T35:T37" si="71">AC35*BlockPerM2/1000</f>
        <v>6.6249999999999989E-3</v>
      </c>
      <c r="U35" s="45">
        <f t="shared" ref="U35:U37" si="72">AD35*BlockPerM2/1000</f>
        <v>8.4333333333333326E-3</v>
      </c>
      <c r="V35" s="45">
        <f t="shared" ref="V35:V37" si="73">AE35*BlockPerM2/1000</f>
        <v>1.3174999999999999E-2</v>
      </c>
      <c r="W35" s="33" t="s">
        <v>68</v>
      </c>
      <c r="X35" s="21"/>
      <c r="Y35" s="21"/>
      <c r="Z35" s="130">
        <f t="shared" ref="Z35:Z37" si="74">AC35</f>
        <v>0.53</v>
      </c>
      <c r="AA35" s="131">
        <f t="shared" ref="AA35:AA37" si="75">AD35</f>
        <v>0.67466666666666664</v>
      </c>
      <c r="AB35" s="132">
        <f t="shared" ref="AB35:AB37" si="76">AE35</f>
        <v>1.054</v>
      </c>
      <c r="AC35" s="45">
        <f>AC$33*BlockUnitLength/3</f>
        <v>0.53</v>
      </c>
      <c r="AD35" s="45">
        <f>AD$33*BlockUnitLength/3</f>
        <v>0.67466666666666664</v>
      </c>
      <c r="AE35" s="45">
        <f>AE$33*BlockUnitLength/3</f>
        <v>1.054</v>
      </c>
      <c r="AF35" s="33" t="s">
        <v>60</v>
      </c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185"/>
      <c r="AU35" s="185"/>
      <c r="AV35" s="185"/>
      <c r="AW35" s="185"/>
      <c r="AX35" s="185"/>
      <c r="AY35" s="185"/>
      <c r="AZ35" s="185"/>
      <c r="BA35" s="185"/>
      <c r="BB35" s="185"/>
      <c r="BC35" s="185"/>
      <c r="BD35" s="185"/>
      <c r="BE35" s="185"/>
      <c r="BF35" s="185"/>
      <c r="BG35" s="185"/>
      <c r="BH35" s="185"/>
      <c r="BI35" s="185"/>
      <c r="BJ35" s="185"/>
      <c r="BK35" s="185"/>
      <c r="BL35" s="185"/>
      <c r="BM35" s="185"/>
    </row>
    <row r="36" spans="1:65" ht="18.75" x14ac:dyDescent="0.35">
      <c r="A36" s="21"/>
      <c r="B36" s="147">
        <v>7.3</v>
      </c>
      <c r="C36" s="32">
        <v>3</v>
      </c>
      <c r="D36" s="1" t="s">
        <v>148</v>
      </c>
      <c r="E36" s="32" t="s">
        <v>145</v>
      </c>
      <c r="F36" s="104" t="str">
        <f>IF(HorizontalRebarNumber&lt;&gt;Choices!D36,"",HLOOKUP(BlockNum,$G$33:$L$37,4))</f>
        <v/>
      </c>
      <c r="G36" s="129">
        <f t="shared" ref="G36" si="77">J36</f>
        <v>4.2433124999999992</v>
      </c>
      <c r="H36" s="129">
        <f t="shared" ref="H36" si="78">K36</f>
        <v>5.4015499999999994</v>
      </c>
      <c r="I36" s="129">
        <f t="shared" ref="I36" si="79">L36</f>
        <v>8.4385874999999988</v>
      </c>
      <c r="J36" s="129">
        <f>$N36*T36</f>
        <v>4.2433124999999992</v>
      </c>
      <c r="K36" s="129">
        <f t="shared" si="62"/>
        <v>5.4015499999999994</v>
      </c>
      <c r="L36" s="129">
        <f t="shared" si="62"/>
        <v>8.4385874999999988</v>
      </c>
      <c r="M36" s="33" t="s">
        <v>62</v>
      </c>
      <c r="N36" s="8">
        <f>RebarCO2</f>
        <v>854</v>
      </c>
      <c r="O36" s="31" t="s">
        <v>64</v>
      </c>
      <c r="P36" s="31"/>
      <c r="Q36" s="130">
        <f t="shared" ref="Q36" si="80">T36</f>
        <v>4.9687499999999992E-3</v>
      </c>
      <c r="R36" s="131">
        <f t="shared" ref="R36" si="81">U36</f>
        <v>6.324999999999999E-3</v>
      </c>
      <c r="S36" s="132">
        <f t="shared" ref="S36" si="82">V36</f>
        <v>9.8812499999999994E-3</v>
      </c>
      <c r="T36" s="45">
        <f t="shared" ref="T36" si="83">AC36*BlockPerM2/1000</f>
        <v>4.9687499999999992E-3</v>
      </c>
      <c r="U36" s="45">
        <f t="shared" ref="U36" si="84">AD36*BlockPerM2/1000</f>
        <v>6.324999999999999E-3</v>
      </c>
      <c r="V36" s="45">
        <f t="shared" ref="V36" si="85">AE36*BlockPerM2/1000</f>
        <v>9.8812499999999994E-3</v>
      </c>
      <c r="W36" s="33" t="s">
        <v>68</v>
      </c>
      <c r="X36" s="21"/>
      <c r="Y36" s="21"/>
      <c r="Z36" s="130">
        <f t="shared" ref="Z36" si="86">AC36</f>
        <v>0.39750000000000002</v>
      </c>
      <c r="AA36" s="131">
        <f t="shared" ref="AA36" si="87">AD36</f>
        <v>0.50600000000000001</v>
      </c>
      <c r="AB36" s="132">
        <f t="shared" ref="AB36" si="88">AE36</f>
        <v>0.79050000000000009</v>
      </c>
      <c r="AC36" s="45">
        <f>AC$33*BlockUnitLength/4</f>
        <v>0.39750000000000002</v>
      </c>
      <c r="AD36" s="45">
        <f>AD$33*BlockUnitLength/4</f>
        <v>0.50600000000000001</v>
      </c>
      <c r="AE36" s="45">
        <f>AE$33*BlockUnitLength/4</f>
        <v>0.79050000000000009</v>
      </c>
      <c r="AF36" s="33" t="s">
        <v>60</v>
      </c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185"/>
      <c r="AU36" s="185"/>
      <c r="AV36" s="185"/>
      <c r="AW36" s="185"/>
      <c r="AX36" s="185"/>
      <c r="AY36" s="185"/>
      <c r="AZ36" s="185"/>
      <c r="BA36" s="185"/>
      <c r="BB36" s="185"/>
      <c r="BC36" s="185"/>
      <c r="BD36" s="185"/>
      <c r="BE36" s="185"/>
      <c r="BF36" s="185"/>
      <c r="BG36" s="185"/>
      <c r="BH36" s="185"/>
      <c r="BI36" s="185"/>
      <c r="BJ36" s="185"/>
      <c r="BK36" s="185"/>
      <c r="BL36" s="185"/>
      <c r="BM36" s="185"/>
    </row>
    <row r="37" spans="1:65" ht="18.75" x14ac:dyDescent="0.35">
      <c r="A37" s="21"/>
      <c r="B37" s="147">
        <v>7.4</v>
      </c>
      <c r="C37" s="32">
        <v>4</v>
      </c>
      <c r="D37" s="1" t="s">
        <v>150</v>
      </c>
      <c r="E37" s="32" t="s">
        <v>152</v>
      </c>
      <c r="F37" s="104" t="str">
        <f>IF(HorizontalRebarNumber&lt;&gt;Choices!D37,"",HLOOKUP(BlockNum,$G$33:$L$37,5))</f>
        <v/>
      </c>
      <c r="G37" s="129">
        <f t="shared" si="65"/>
        <v>2.8288749999999996</v>
      </c>
      <c r="H37" s="129">
        <f t="shared" si="66"/>
        <v>3.6010333333333331</v>
      </c>
      <c r="I37" s="129">
        <f t="shared" si="67"/>
        <v>5.6257250000000001</v>
      </c>
      <c r="J37" s="129">
        <f>$N37*T37</f>
        <v>2.8288749999999996</v>
      </c>
      <c r="K37" s="129">
        <f t="shared" si="62"/>
        <v>3.6010333333333331</v>
      </c>
      <c r="L37" s="129">
        <f t="shared" si="62"/>
        <v>5.6257250000000001</v>
      </c>
      <c r="M37" s="33" t="s">
        <v>62</v>
      </c>
      <c r="N37" s="8">
        <f>RebarCO2</f>
        <v>854</v>
      </c>
      <c r="O37" s="31" t="s">
        <v>64</v>
      </c>
      <c r="P37" s="31"/>
      <c r="Q37" s="130">
        <f t="shared" si="68"/>
        <v>3.3124999999999995E-3</v>
      </c>
      <c r="R37" s="131">
        <f t="shared" si="69"/>
        <v>4.2166666666666663E-3</v>
      </c>
      <c r="S37" s="132">
        <f t="shared" si="70"/>
        <v>6.5874999999999996E-3</v>
      </c>
      <c r="T37" s="45">
        <f t="shared" si="71"/>
        <v>3.3124999999999995E-3</v>
      </c>
      <c r="U37" s="45">
        <f t="shared" si="72"/>
        <v>4.2166666666666663E-3</v>
      </c>
      <c r="V37" s="45">
        <f t="shared" si="73"/>
        <v>6.5874999999999996E-3</v>
      </c>
      <c r="W37" s="33" t="s">
        <v>68</v>
      </c>
      <c r="X37" s="21"/>
      <c r="Y37" s="21"/>
      <c r="Z37" s="130">
        <f t="shared" si="74"/>
        <v>0.26500000000000001</v>
      </c>
      <c r="AA37" s="131">
        <f t="shared" si="75"/>
        <v>0.33733333333333332</v>
      </c>
      <c r="AB37" s="132">
        <f t="shared" si="76"/>
        <v>0.52700000000000002</v>
      </c>
      <c r="AC37" s="45">
        <f>AC$33*BlockUnitLength/6</f>
        <v>0.26500000000000001</v>
      </c>
      <c r="AD37" s="45">
        <f>AD$33*BlockUnitLength/6</f>
        <v>0.33733333333333332</v>
      </c>
      <c r="AE37" s="45">
        <f>AE$33*BlockUnitLength/6</f>
        <v>0.52700000000000002</v>
      </c>
      <c r="AF37" s="33" t="s">
        <v>60</v>
      </c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</row>
    <row r="38" spans="1:65" x14ac:dyDescent="0.25">
      <c r="A38" s="21"/>
      <c r="B38" s="22"/>
      <c r="C38" s="38" t="s">
        <v>3</v>
      </c>
      <c r="D38" s="153">
        <f>Choices!D38</f>
        <v>1</v>
      </c>
      <c r="E38" s="21"/>
      <c r="F38" s="37"/>
      <c r="G38" s="32">
        <f>G$8</f>
        <v>1</v>
      </c>
      <c r="H38" s="32">
        <f t="shared" ref="H38:L38" si="89">H$8</f>
        <v>2</v>
      </c>
      <c r="I38" s="32">
        <f t="shared" si="89"/>
        <v>3</v>
      </c>
      <c r="J38" s="32">
        <f t="shared" si="89"/>
        <v>4</v>
      </c>
      <c r="K38" s="32">
        <f t="shared" si="89"/>
        <v>5</v>
      </c>
      <c r="L38" s="32">
        <f t="shared" si="89"/>
        <v>6</v>
      </c>
      <c r="M38" s="33"/>
      <c r="N38" s="37"/>
      <c r="O38" s="33"/>
      <c r="P38" s="33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 t="s">
        <v>123</v>
      </c>
      <c r="AH38" s="21"/>
      <c r="AI38" s="21"/>
      <c r="AJ38" s="21"/>
      <c r="AK38" s="21"/>
      <c r="AL38" s="21"/>
      <c r="AM38" s="33"/>
      <c r="AN38" s="21"/>
      <c r="AO38" s="21"/>
      <c r="AP38" s="21"/>
      <c r="AQ38" s="21"/>
      <c r="AR38" s="21"/>
      <c r="AS38" s="21"/>
      <c r="AT38" s="185"/>
      <c r="AU38" s="185"/>
      <c r="AV38" s="185"/>
      <c r="AW38" s="185"/>
      <c r="AX38" s="185"/>
      <c r="AY38" s="185"/>
      <c r="AZ38" s="185"/>
      <c r="BA38" s="185"/>
      <c r="BB38" s="185"/>
      <c r="BC38" s="185"/>
      <c r="BD38" s="185"/>
      <c r="BE38" s="185"/>
      <c r="BF38" s="185"/>
      <c r="BG38" s="185"/>
      <c r="BH38" s="185"/>
      <c r="BI38" s="185"/>
      <c r="BJ38" s="185"/>
      <c r="BK38" s="185"/>
      <c r="BL38" s="185"/>
      <c r="BM38" s="185"/>
    </row>
    <row r="39" spans="1:65" ht="18.75" x14ac:dyDescent="0.35">
      <c r="A39" s="21"/>
      <c r="B39" s="154">
        <v>8.1</v>
      </c>
      <c r="C39" s="32">
        <v>1</v>
      </c>
      <c r="D39" s="1" t="s">
        <v>164</v>
      </c>
      <c r="E39" s="21"/>
      <c r="F39" s="126">
        <f>IF(MortarTypeNumber&lt;&gt;Choices!D39,"",HLOOKUP(BlockNum,$G$38:$L$40,2))</f>
        <v>2.1606442921007618</v>
      </c>
      <c r="G39" s="48">
        <f>$N$39*Q39</f>
        <v>2.1606442921007618</v>
      </c>
      <c r="H39" s="48">
        <f t="shared" ref="H39:L39" si="90">$N$39*R39</f>
        <v>2.1606442921007618</v>
      </c>
      <c r="I39" s="48">
        <f t="shared" si="90"/>
        <v>2.1606442921007618</v>
      </c>
      <c r="J39" s="48">
        <f t="shared" si="90"/>
        <v>2.1606442921007618</v>
      </c>
      <c r="K39" s="48">
        <f t="shared" si="90"/>
        <v>2.1606442921007618</v>
      </c>
      <c r="L39" s="48">
        <f t="shared" si="90"/>
        <v>2.1606442921007618</v>
      </c>
      <c r="M39" s="33" t="s">
        <v>62</v>
      </c>
      <c r="N39" s="162">
        <f>MortarSCO2</f>
        <v>179.14322985782692</v>
      </c>
      <c r="O39" s="31" t="s">
        <v>65</v>
      </c>
      <c r="P39" s="31"/>
      <c r="Q39" s="7">
        <f t="shared" ref="Q39:V39" si="91">Z39*MortarSDensity/1000</f>
        <v>1.2060987701380118E-2</v>
      </c>
      <c r="R39" s="7">
        <f t="shared" si="91"/>
        <v>1.2060987701380118E-2</v>
      </c>
      <c r="S39" s="7">
        <f t="shared" si="91"/>
        <v>1.2060987701380118E-2</v>
      </c>
      <c r="T39" s="7">
        <f t="shared" si="91"/>
        <v>1.2060987701380118E-2</v>
      </c>
      <c r="U39" s="7">
        <f t="shared" si="91"/>
        <v>1.2060987701380118E-2</v>
      </c>
      <c r="V39" s="7">
        <f t="shared" si="91"/>
        <v>1.2060987701380118E-2</v>
      </c>
      <c r="W39" s="33" t="s">
        <v>68</v>
      </c>
      <c r="X39" s="21"/>
      <c r="Y39" s="21"/>
      <c r="Z39" s="125">
        <f t="shared" ref="Z39:AE39" si="92">AG39*BlockPerM2</f>
        <v>5.6049999999999989E-3</v>
      </c>
      <c r="AA39" s="125">
        <f t="shared" si="92"/>
        <v>5.6049999999999989E-3</v>
      </c>
      <c r="AB39" s="125">
        <f t="shared" si="92"/>
        <v>5.6049999999999989E-3</v>
      </c>
      <c r="AC39" s="125">
        <f t="shared" si="92"/>
        <v>5.6049999999999989E-3</v>
      </c>
      <c r="AD39" s="125">
        <f t="shared" si="92"/>
        <v>5.6049999999999989E-3</v>
      </c>
      <c r="AE39" s="125">
        <f t="shared" si="92"/>
        <v>5.6049999999999989E-3</v>
      </c>
      <c r="AF39" s="33" t="s">
        <v>70</v>
      </c>
      <c r="AG39" s="128">
        <f t="shared" ref="AG39:AL40" si="93">(BlockLength+BlockHeight-MortarJointWidth/1000)*2*MortarJointDepth/1000*MortarJointWidth/1000</f>
        <v>4.484E-4</v>
      </c>
      <c r="AH39" s="128">
        <f t="shared" si="93"/>
        <v>4.484E-4</v>
      </c>
      <c r="AI39" s="128">
        <f t="shared" si="93"/>
        <v>4.484E-4</v>
      </c>
      <c r="AJ39" s="128">
        <f t="shared" si="93"/>
        <v>4.484E-4</v>
      </c>
      <c r="AK39" s="128">
        <f t="shared" si="93"/>
        <v>4.484E-4</v>
      </c>
      <c r="AL39" s="128">
        <f t="shared" si="93"/>
        <v>4.484E-4</v>
      </c>
      <c r="AM39" s="33" t="s">
        <v>121</v>
      </c>
      <c r="AN39" s="33"/>
      <c r="AO39" s="33"/>
      <c r="AP39" s="21"/>
      <c r="AQ39" s="21"/>
      <c r="AR39" s="21"/>
      <c r="AS39" s="21"/>
      <c r="AT39" s="185"/>
      <c r="AU39" s="185"/>
      <c r="AV39" s="185"/>
      <c r="AW39" s="185"/>
      <c r="AX39" s="185"/>
      <c r="AY39" s="185"/>
      <c r="AZ39" s="185"/>
      <c r="BA39" s="185"/>
      <c r="BB39" s="185"/>
      <c r="BC39" s="185"/>
      <c r="BD39" s="185"/>
      <c r="BE39" s="185"/>
      <c r="BF39" s="185"/>
      <c r="BG39" s="185"/>
      <c r="BH39" s="185"/>
      <c r="BI39" s="185"/>
      <c r="BJ39" s="185"/>
      <c r="BK39" s="185"/>
      <c r="BL39" s="185"/>
      <c r="BM39" s="185"/>
    </row>
    <row r="40" spans="1:65" ht="18.75" x14ac:dyDescent="0.35">
      <c r="A40" s="21"/>
      <c r="B40" s="154">
        <v>8.1999999999999993</v>
      </c>
      <c r="C40" s="32">
        <v>2</v>
      </c>
      <c r="D40" s="1" t="s">
        <v>166</v>
      </c>
      <c r="E40" s="22"/>
      <c r="F40" s="165" t="str">
        <f>IF(MortarTypeNumber&lt;&gt;Choices!D40,"",HLOOKUP(BlockNum,$G$38:$L$40,3))</f>
        <v/>
      </c>
      <c r="G40" s="48">
        <f>$N$40*Q40</f>
        <v>2.2667589380885023</v>
      </c>
      <c r="H40" s="48">
        <f t="shared" ref="H40:L40" si="94">$N$40*R40</f>
        <v>2.2667589380885023</v>
      </c>
      <c r="I40" s="48">
        <f t="shared" si="94"/>
        <v>2.2667589380885023</v>
      </c>
      <c r="J40" s="48">
        <f t="shared" si="94"/>
        <v>2.2667589380885023</v>
      </c>
      <c r="K40" s="48">
        <f t="shared" si="94"/>
        <v>2.2667589380885023</v>
      </c>
      <c r="L40" s="48">
        <f t="shared" si="94"/>
        <v>2.2667589380885023</v>
      </c>
      <c r="M40" s="33" t="s">
        <v>62</v>
      </c>
      <c r="N40" s="161">
        <f>MortarMCO2</f>
        <v>190.36848279604885</v>
      </c>
      <c r="O40" s="31" t="s">
        <v>65</v>
      </c>
      <c r="P40" s="31"/>
      <c r="Q40" s="7">
        <f t="shared" ref="Q40:V40" si="95">Z40*MortarMDensity/1000</f>
        <v>1.1907217543552066E-2</v>
      </c>
      <c r="R40" s="7">
        <f t="shared" si="95"/>
        <v>1.1907217543552066E-2</v>
      </c>
      <c r="S40" s="7">
        <f t="shared" si="95"/>
        <v>1.1907217543552066E-2</v>
      </c>
      <c r="T40" s="7">
        <f t="shared" si="95"/>
        <v>1.1907217543552066E-2</v>
      </c>
      <c r="U40" s="7">
        <f t="shared" si="95"/>
        <v>1.1907217543552066E-2</v>
      </c>
      <c r="V40" s="7">
        <f t="shared" si="95"/>
        <v>1.1907217543552066E-2</v>
      </c>
      <c r="W40" s="33" t="s">
        <v>68</v>
      </c>
      <c r="X40" s="21"/>
      <c r="Y40" s="21"/>
      <c r="Z40" s="125">
        <f t="shared" ref="Z40" si="96">AG40*BlockPerM2</f>
        <v>5.6049999999999989E-3</v>
      </c>
      <c r="AA40" s="125">
        <f t="shared" ref="AA40" si="97">AH40*BlockPerM2</f>
        <v>5.6049999999999989E-3</v>
      </c>
      <c r="AB40" s="125">
        <f t="shared" ref="AB40" si="98">AI40*BlockPerM2</f>
        <v>5.6049999999999989E-3</v>
      </c>
      <c r="AC40" s="125">
        <f t="shared" ref="AC40" si="99">AJ40*BlockPerM2</f>
        <v>5.6049999999999989E-3</v>
      </c>
      <c r="AD40" s="125">
        <f t="shared" ref="AD40" si="100">AK40*BlockPerM2</f>
        <v>5.6049999999999989E-3</v>
      </c>
      <c r="AE40" s="125">
        <f t="shared" ref="AE40" si="101">AL40*BlockPerM2</f>
        <v>5.6049999999999989E-3</v>
      </c>
      <c r="AF40" s="33" t="s">
        <v>70</v>
      </c>
      <c r="AG40" s="128">
        <f t="shared" si="93"/>
        <v>4.484E-4</v>
      </c>
      <c r="AH40" s="128">
        <f t="shared" si="93"/>
        <v>4.484E-4</v>
      </c>
      <c r="AI40" s="128">
        <f t="shared" si="93"/>
        <v>4.484E-4</v>
      </c>
      <c r="AJ40" s="128">
        <f t="shared" si="93"/>
        <v>4.484E-4</v>
      </c>
      <c r="AK40" s="128">
        <f t="shared" si="93"/>
        <v>4.484E-4</v>
      </c>
      <c r="AL40" s="128">
        <f t="shared" si="93"/>
        <v>4.484E-4</v>
      </c>
      <c r="AM40" s="33" t="s">
        <v>121</v>
      </c>
      <c r="AN40" s="33"/>
      <c r="AO40" s="33"/>
      <c r="AP40" s="21"/>
      <c r="AQ40" s="21"/>
      <c r="AR40" s="21"/>
      <c r="AS40" s="21"/>
      <c r="AT40" s="185"/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5"/>
      <c r="BF40" s="185"/>
      <c r="BG40" s="185"/>
      <c r="BH40" s="185"/>
      <c r="BI40" s="185"/>
      <c r="BJ40" s="185"/>
      <c r="BK40" s="185"/>
      <c r="BL40" s="185"/>
      <c r="BM40" s="185"/>
    </row>
    <row r="41" spans="1:65" x14ac:dyDescent="0.25">
      <c r="A41" s="21"/>
      <c r="B41" s="21"/>
      <c r="C41" s="52"/>
      <c r="D41" s="21"/>
      <c r="E41" s="21"/>
      <c r="F41" s="21"/>
      <c r="G41" s="21"/>
      <c r="H41" s="21"/>
      <c r="I41" s="21"/>
      <c r="J41" s="21"/>
      <c r="K41" s="21"/>
      <c r="L41" s="21"/>
      <c r="M41" s="33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185"/>
      <c r="AU41" s="185"/>
      <c r="AV41" s="185"/>
      <c r="AW41" s="185"/>
      <c r="AX41" s="185"/>
      <c r="AY41" s="185"/>
      <c r="AZ41" s="185"/>
      <c r="BA41" s="185"/>
      <c r="BB41" s="185"/>
      <c r="BC41" s="185"/>
      <c r="BD41" s="185"/>
      <c r="BE41" s="185"/>
      <c r="BF41" s="185"/>
      <c r="BG41" s="185"/>
      <c r="BH41" s="185"/>
      <c r="BI41" s="185"/>
      <c r="BJ41" s="185"/>
      <c r="BK41" s="185"/>
      <c r="BL41" s="185"/>
      <c r="BM41" s="185"/>
    </row>
    <row r="42" spans="1:65" x14ac:dyDescent="0.25">
      <c r="A42" s="185"/>
      <c r="B42" s="185"/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5"/>
      <c r="AT42" s="185"/>
      <c r="AU42" s="185"/>
      <c r="AV42" s="185"/>
      <c r="AW42" s="185"/>
      <c r="AX42" s="185"/>
      <c r="AY42" s="185"/>
      <c r="AZ42" s="185"/>
      <c r="BA42" s="185"/>
      <c r="BB42" s="185"/>
      <c r="BC42" s="185"/>
      <c r="BD42" s="185"/>
      <c r="BE42" s="185"/>
      <c r="BF42" s="185"/>
      <c r="BG42" s="185"/>
      <c r="BH42" s="185"/>
      <c r="BI42" s="185"/>
      <c r="BJ42" s="185"/>
      <c r="BK42" s="185"/>
      <c r="BL42" s="185"/>
      <c r="BM42" s="185"/>
    </row>
    <row r="43" spans="1:65" x14ac:dyDescent="0.25">
      <c r="A43" s="185"/>
      <c r="B43" s="185"/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5"/>
      <c r="AO43" s="185"/>
      <c r="AP43" s="185"/>
      <c r="AQ43" s="185"/>
      <c r="AR43" s="185"/>
      <c r="AS43" s="185"/>
      <c r="AT43" s="185"/>
      <c r="AU43" s="185"/>
      <c r="AV43" s="185"/>
      <c r="AW43" s="185"/>
      <c r="AX43" s="185"/>
      <c r="AY43" s="185"/>
      <c r="AZ43" s="185"/>
      <c r="BA43" s="185"/>
      <c r="BB43" s="185"/>
      <c r="BC43" s="185"/>
      <c r="BD43" s="185"/>
      <c r="BE43" s="185"/>
      <c r="BF43" s="185"/>
      <c r="BG43" s="185"/>
      <c r="BH43" s="185"/>
      <c r="BI43" s="185"/>
      <c r="BJ43" s="185"/>
      <c r="BK43" s="185"/>
      <c r="BL43" s="185"/>
      <c r="BM43" s="185"/>
    </row>
    <row r="44" spans="1:65" x14ac:dyDescent="0.25">
      <c r="A44" s="185"/>
      <c r="B44" s="185"/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185"/>
      <c r="AT44" s="185"/>
      <c r="AU44" s="185"/>
      <c r="AV44" s="185"/>
      <c r="AW44" s="185"/>
      <c r="AX44" s="185"/>
      <c r="AY44" s="185"/>
      <c r="AZ44" s="185"/>
      <c r="BA44" s="185"/>
      <c r="BB44" s="185"/>
      <c r="BC44" s="185"/>
      <c r="BD44" s="185"/>
      <c r="BE44" s="185"/>
      <c r="BF44" s="185"/>
      <c r="BG44" s="185"/>
      <c r="BH44" s="185"/>
      <c r="BI44" s="185"/>
      <c r="BJ44" s="185"/>
      <c r="BK44" s="185"/>
      <c r="BL44" s="185"/>
      <c r="BM44" s="185"/>
    </row>
    <row r="45" spans="1:65" x14ac:dyDescent="0.25">
      <c r="A45" s="185"/>
      <c r="B45" s="185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  <c r="AZ45" s="185"/>
      <c r="BA45" s="185"/>
      <c r="BB45" s="185"/>
      <c r="BC45" s="185"/>
      <c r="BD45" s="185"/>
      <c r="BE45" s="185"/>
      <c r="BF45" s="185"/>
      <c r="BG45" s="185"/>
      <c r="BH45" s="185"/>
      <c r="BI45" s="185"/>
      <c r="BJ45" s="185"/>
      <c r="BK45" s="185"/>
      <c r="BL45" s="185"/>
      <c r="BM45" s="185"/>
    </row>
    <row r="46" spans="1:65" x14ac:dyDescent="0.25">
      <c r="A46" s="185"/>
      <c r="B46" s="185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5"/>
      <c r="BE46" s="185"/>
      <c r="BF46" s="185"/>
      <c r="BG46" s="185"/>
      <c r="BH46" s="185"/>
      <c r="BI46" s="185"/>
      <c r="BJ46" s="185"/>
      <c r="BK46" s="185"/>
      <c r="BL46" s="185"/>
      <c r="BM46" s="185"/>
    </row>
    <row r="47" spans="1:65" x14ac:dyDescent="0.25">
      <c r="A47" s="185"/>
      <c r="B47" s="185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5"/>
      <c r="BJ47" s="185"/>
      <c r="BK47" s="185"/>
      <c r="BL47" s="185"/>
      <c r="BM47" s="185"/>
    </row>
    <row r="48" spans="1:65" x14ac:dyDescent="0.25">
      <c r="A48" s="185"/>
      <c r="B48" s="185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</row>
    <row r="49" spans="1:65" x14ac:dyDescent="0.25">
      <c r="A49" s="185"/>
      <c r="B49" s="185"/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  <c r="AY49" s="185"/>
      <c r="AZ49" s="185"/>
      <c r="BA49" s="185"/>
      <c r="BB49" s="185"/>
      <c r="BC49" s="185"/>
      <c r="BD49" s="185"/>
      <c r="BE49" s="185"/>
      <c r="BF49" s="185"/>
      <c r="BG49" s="185"/>
      <c r="BH49" s="185"/>
      <c r="BI49" s="185"/>
      <c r="BJ49" s="185"/>
      <c r="BK49" s="185"/>
      <c r="BL49" s="185"/>
      <c r="BM49" s="185"/>
    </row>
    <row r="50" spans="1:65" x14ac:dyDescent="0.25">
      <c r="A50" s="185"/>
      <c r="B50" s="185"/>
      <c r="C50" s="185"/>
      <c r="D50" s="185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  <c r="AY50" s="185"/>
      <c r="AZ50" s="185"/>
      <c r="BA50" s="185"/>
      <c r="BB50" s="185"/>
      <c r="BC50" s="185"/>
      <c r="BD50" s="185"/>
      <c r="BE50" s="185"/>
      <c r="BF50" s="185"/>
      <c r="BG50" s="185"/>
      <c r="BH50" s="185"/>
      <c r="BI50" s="185"/>
      <c r="BJ50" s="185"/>
      <c r="BK50" s="185"/>
      <c r="BL50" s="185"/>
      <c r="BM50" s="185"/>
    </row>
    <row r="51" spans="1:65" x14ac:dyDescent="0.25">
      <c r="A51" s="185"/>
      <c r="B51" s="185"/>
      <c r="C51" s="185"/>
      <c r="D51" s="185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  <c r="AL51" s="185"/>
      <c r="AM51" s="185"/>
      <c r="AN51" s="185"/>
      <c r="AO51" s="185"/>
      <c r="AP51" s="185"/>
      <c r="AQ51" s="185"/>
      <c r="AR51" s="185"/>
      <c r="AS51" s="185"/>
      <c r="AT51" s="185"/>
      <c r="AU51" s="185"/>
      <c r="AV51" s="185"/>
      <c r="AW51" s="185"/>
      <c r="AX51" s="185"/>
      <c r="AY51" s="185"/>
      <c r="AZ51" s="185"/>
      <c r="BA51" s="185"/>
      <c r="BB51" s="185"/>
      <c r="BC51" s="185"/>
      <c r="BD51" s="185"/>
      <c r="BE51" s="185"/>
      <c r="BF51" s="185"/>
      <c r="BG51" s="185"/>
      <c r="BH51" s="185"/>
      <c r="BI51" s="185"/>
      <c r="BJ51" s="185"/>
      <c r="BK51" s="185"/>
      <c r="BL51" s="185"/>
      <c r="BM51" s="185"/>
    </row>
    <row r="52" spans="1:65" x14ac:dyDescent="0.25">
      <c r="A52" s="185"/>
      <c r="B52" s="185"/>
      <c r="C52" s="185"/>
      <c r="D52" s="185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  <c r="AL52" s="185"/>
      <c r="AM52" s="185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5"/>
      <c r="BH52" s="185"/>
      <c r="BI52" s="185"/>
      <c r="BJ52" s="185"/>
      <c r="BK52" s="185"/>
      <c r="BL52" s="185"/>
      <c r="BM52" s="185"/>
    </row>
    <row r="53" spans="1:65" x14ac:dyDescent="0.25">
      <c r="A53" s="185"/>
      <c r="B53" s="185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  <c r="BA53" s="185"/>
      <c r="BB53" s="185"/>
      <c r="BC53" s="185"/>
      <c r="BD53" s="185"/>
      <c r="BE53" s="185"/>
      <c r="BF53" s="185"/>
      <c r="BG53" s="185"/>
      <c r="BH53" s="185"/>
      <c r="BI53" s="185"/>
      <c r="BJ53" s="185"/>
      <c r="BK53" s="185"/>
      <c r="BL53" s="185"/>
      <c r="BM53" s="185"/>
    </row>
    <row r="54" spans="1:65" x14ac:dyDescent="0.25">
      <c r="A54" s="185"/>
      <c r="B54" s="185"/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  <c r="AX54" s="185"/>
      <c r="AY54" s="185"/>
      <c r="AZ54" s="185"/>
      <c r="BA54" s="185"/>
      <c r="BB54" s="185"/>
      <c r="BC54" s="185"/>
      <c r="BD54" s="185"/>
      <c r="BE54" s="185"/>
      <c r="BF54" s="185"/>
      <c r="BG54" s="185"/>
      <c r="BH54" s="185"/>
      <c r="BI54" s="185"/>
      <c r="BJ54" s="185"/>
      <c r="BK54" s="185"/>
      <c r="BL54" s="185"/>
      <c r="BM54" s="185"/>
    </row>
    <row r="55" spans="1:65" x14ac:dyDescent="0.25">
      <c r="A55" s="185"/>
      <c r="B55" s="185"/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85"/>
      <c r="BI55" s="185"/>
      <c r="BJ55" s="185"/>
      <c r="BK55" s="185"/>
      <c r="BL55" s="185"/>
      <c r="BM55" s="185"/>
    </row>
    <row r="56" spans="1:65" x14ac:dyDescent="0.25">
      <c r="A56" s="185"/>
      <c r="B56" s="185"/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85"/>
      <c r="AK56" s="185"/>
      <c r="AL56" s="185"/>
      <c r="AM56" s="185"/>
      <c r="AN56" s="185"/>
      <c r="AO56" s="185"/>
      <c r="AP56" s="185"/>
      <c r="AQ56" s="185"/>
      <c r="AR56" s="185"/>
      <c r="AS56" s="185"/>
      <c r="AT56" s="185"/>
      <c r="AU56" s="185"/>
      <c r="AV56" s="185"/>
      <c r="AW56" s="185"/>
      <c r="AX56" s="185"/>
      <c r="AY56" s="185"/>
      <c r="AZ56" s="185"/>
      <c r="BA56" s="185"/>
      <c r="BB56" s="185"/>
      <c r="BC56" s="185"/>
      <c r="BD56" s="185"/>
      <c r="BE56" s="185"/>
      <c r="BF56" s="185"/>
      <c r="BG56" s="185"/>
      <c r="BH56" s="185"/>
      <c r="BI56" s="185"/>
      <c r="BJ56" s="185"/>
      <c r="BK56" s="185"/>
      <c r="BL56" s="185"/>
      <c r="BM56" s="185"/>
    </row>
    <row r="57" spans="1:65" x14ac:dyDescent="0.25">
      <c r="A57" s="185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  <c r="AK57" s="185"/>
      <c r="AL57" s="185"/>
      <c r="AM57" s="185"/>
      <c r="AN57" s="185"/>
      <c r="AO57" s="185"/>
      <c r="AP57" s="185"/>
      <c r="AQ57" s="185"/>
      <c r="AR57" s="185"/>
      <c r="AS57" s="185"/>
      <c r="AT57" s="185"/>
      <c r="AU57" s="185"/>
      <c r="AV57" s="185"/>
      <c r="AW57" s="185"/>
      <c r="AX57" s="185"/>
      <c r="AY57" s="185"/>
      <c r="AZ57" s="185"/>
      <c r="BA57" s="185"/>
      <c r="BB57" s="185"/>
      <c r="BC57" s="185"/>
      <c r="BD57" s="185"/>
      <c r="BE57" s="185"/>
      <c r="BF57" s="185"/>
      <c r="BG57" s="185"/>
      <c r="BH57" s="185"/>
      <c r="BI57" s="185"/>
      <c r="BJ57" s="185"/>
      <c r="BK57" s="185"/>
      <c r="BL57" s="185"/>
      <c r="BM57" s="185"/>
    </row>
    <row r="58" spans="1:65" x14ac:dyDescent="0.25">
      <c r="A58" s="185"/>
      <c r="B58" s="185"/>
      <c r="C58" s="185"/>
      <c r="D58" s="185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  <c r="AK58" s="185"/>
      <c r="AL58" s="185"/>
      <c r="AM58" s="185"/>
      <c r="AN58" s="185"/>
      <c r="AO58" s="185"/>
      <c r="AP58" s="185"/>
      <c r="AQ58" s="185"/>
      <c r="AR58" s="185"/>
      <c r="AS58" s="185"/>
      <c r="AT58" s="185"/>
      <c r="AU58" s="185"/>
      <c r="AV58" s="185"/>
      <c r="AW58" s="185"/>
      <c r="AX58" s="185"/>
      <c r="AY58" s="185"/>
      <c r="AZ58" s="185"/>
      <c r="BA58" s="185"/>
      <c r="BB58" s="185"/>
      <c r="BC58" s="185"/>
      <c r="BD58" s="185"/>
      <c r="BE58" s="185"/>
      <c r="BF58" s="185"/>
      <c r="BG58" s="185"/>
      <c r="BH58" s="185"/>
      <c r="BI58" s="185"/>
      <c r="BJ58" s="185"/>
      <c r="BK58" s="185"/>
      <c r="BL58" s="185"/>
      <c r="BM58" s="185"/>
    </row>
    <row r="59" spans="1:65" x14ac:dyDescent="0.25">
      <c r="A59" s="185"/>
      <c r="B59" s="185"/>
      <c r="C59" s="185"/>
      <c r="D59" s="185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</row>
    <row r="60" spans="1:65" x14ac:dyDescent="0.25">
      <c r="A60" s="185"/>
      <c r="B60" s="185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  <c r="AS60" s="185"/>
      <c r="AT60" s="185"/>
      <c r="AU60" s="185"/>
      <c r="AV60" s="185"/>
      <c r="AW60" s="185"/>
      <c r="AX60" s="185"/>
      <c r="AY60" s="185"/>
      <c r="AZ60" s="185"/>
      <c r="BA60" s="185"/>
      <c r="BB60" s="185"/>
      <c r="BC60" s="185"/>
      <c r="BD60" s="185"/>
      <c r="BE60" s="185"/>
      <c r="BF60" s="185"/>
      <c r="BG60" s="185"/>
      <c r="BH60" s="185"/>
      <c r="BI60" s="185"/>
      <c r="BJ60" s="185"/>
      <c r="BK60" s="185"/>
      <c r="BL60" s="185"/>
      <c r="BM60" s="185"/>
    </row>
    <row r="61" spans="1:65" x14ac:dyDescent="0.25">
      <c r="A61" s="185"/>
      <c r="B61" s="185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/>
      <c r="BC61" s="185"/>
      <c r="BD61" s="185"/>
      <c r="BE61" s="185"/>
      <c r="BF61" s="185"/>
      <c r="BG61" s="185"/>
      <c r="BH61" s="185"/>
      <c r="BI61" s="185"/>
      <c r="BJ61" s="185"/>
      <c r="BK61" s="185"/>
      <c r="BL61" s="185"/>
      <c r="BM61" s="185"/>
    </row>
    <row r="62" spans="1:65" x14ac:dyDescent="0.25">
      <c r="A62" s="185"/>
      <c r="B62" s="185"/>
      <c r="C62" s="185"/>
      <c r="D62" s="185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  <c r="AS62" s="185"/>
      <c r="AT62" s="185"/>
      <c r="AU62" s="185"/>
      <c r="AV62" s="185"/>
      <c r="AW62" s="185"/>
      <c r="AX62" s="185"/>
      <c r="AY62" s="185"/>
      <c r="AZ62" s="185"/>
      <c r="BA62" s="185"/>
      <c r="BB62" s="185"/>
      <c r="BC62" s="185"/>
      <c r="BD62" s="185"/>
      <c r="BE62" s="185"/>
      <c r="BF62" s="185"/>
      <c r="BG62" s="185"/>
      <c r="BH62" s="185"/>
      <c r="BI62" s="185"/>
      <c r="BJ62" s="185"/>
      <c r="BK62" s="185"/>
      <c r="BL62" s="185"/>
      <c r="BM62" s="185"/>
    </row>
    <row r="63" spans="1:65" x14ac:dyDescent="0.25">
      <c r="A63" s="185"/>
      <c r="B63" s="185"/>
      <c r="C63" s="185"/>
      <c r="D63" s="185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</row>
    <row r="64" spans="1:65" x14ac:dyDescent="0.25">
      <c r="A64" s="185"/>
      <c r="B64" s="185"/>
      <c r="C64" s="185"/>
      <c r="D64" s="185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E64" s="185"/>
      <c r="BF64" s="185"/>
      <c r="BG64" s="185"/>
      <c r="BH64" s="185"/>
      <c r="BI64" s="185"/>
      <c r="BJ64" s="185"/>
      <c r="BK64" s="185"/>
      <c r="BL64" s="185"/>
      <c r="BM64" s="185"/>
    </row>
    <row r="65" spans="1:65" x14ac:dyDescent="0.25">
      <c r="A65" s="185"/>
      <c r="B65" s="185"/>
      <c r="C65" s="185"/>
      <c r="D65" s="185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/>
      <c r="BM65" s="185"/>
    </row>
    <row r="66" spans="1:65" x14ac:dyDescent="0.25">
      <c r="A66" s="185"/>
      <c r="B66" s="185"/>
      <c r="C66" s="185"/>
      <c r="D66" s="185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/>
      <c r="BB66" s="185"/>
      <c r="BC66" s="185"/>
      <c r="BD66" s="185"/>
      <c r="BE66" s="185"/>
      <c r="BF66" s="185"/>
      <c r="BG66" s="185"/>
      <c r="BH66" s="185"/>
      <c r="BI66" s="185"/>
      <c r="BJ66" s="185"/>
      <c r="BK66" s="185"/>
      <c r="BL66" s="185"/>
      <c r="BM66" s="185"/>
    </row>
    <row r="67" spans="1:65" x14ac:dyDescent="0.25">
      <c r="A67" s="185"/>
      <c r="B67" s="185"/>
      <c r="C67" s="185"/>
      <c r="D67" s="185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5"/>
      <c r="AF67" s="185"/>
      <c r="AG67" s="185"/>
      <c r="AH67" s="185"/>
      <c r="AI67" s="185"/>
      <c r="AJ67" s="185"/>
      <c r="AK67" s="185"/>
      <c r="AL67" s="185"/>
      <c r="AM67" s="185"/>
      <c r="AN67" s="185"/>
      <c r="AO67" s="185"/>
      <c r="AP67" s="185"/>
      <c r="AQ67" s="185"/>
      <c r="AR67" s="185"/>
      <c r="AS67" s="185"/>
      <c r="AT67" s="185"/>
      <c r="AU67" s="185"/>
      <c r="AV67" s="185"/>
      <c r="AW67" s="185"/>
      <c r="AX67" s="185"/>
      <c r="AY67" s="185"/>
      <c r="AZ67" s="185"/>
      <c r="BA67" s="185"/>
      <c r="BB67" s="185"/>
      <c r="BC67" s="185"/>
      <c r="BD67" s="185"/>
      <c r="BE67" s="185"/>
      <c r="BF67" s="185"/>
      <c r="BG67" s="185"/>
      <c r="BH67" s="185"/>
      <c r="BI67" s="185"/>
      <c r="BJ67" s="185"/>
      <c r="BK67" s="185"/>
      <c r="BL67" s="185"/>
      <c r="BM67" s="185"/>
    </row>
    <row r="68" spans="1:65" x14ac:dyDescent="0.25">
      <c r="A68" s="185"/>
      <c r="B68" s="185"/>
      <c r="C68" s="185"/>
      <c r="D68" s="185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185"/>
    </row>
    <row r="69" spans="1:65" x14ac:dyDescent="0.25">
      <c r="A69" s="185"/>
      <c r="B69" s="185"/>
      <c r="C69" s="185"/>
      <c r="D69" s="185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5"/>
      <c r="W69" s="185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5"/>
      <c r="AP69" s="185"/>
      <c r="AQ69" s="185"/>
      <c r="AR69" s="185"/>
      <c r="AS69" s="185"/>
      <c r="AT69" s="185"/>
      <c r="AU69" s="185"/>
      <c r="AV69" s="185"/>
      <c r="AW69" s="185"/>
      <c r="AX69" s="185"/>
      <c r="AY69" s="185"/>
      <c r="AZ69" s="185"/>
      <c r="BA69" s="185"/>
      <c r="BB69" s="185"/>
      <c r="BC69" s="185"/>
      <c r="BD69" s="185"/>
      <c r="BE69" s="185"/>
      <c r="BF69" s="185"/>
      <c r="BG69" s="185"/>
      <c r="BH69" s="185"/>
      <c r="BI69" s="185"/>
      <c r="BJ69" s="185"/>
      <c r="BK69" s="185"/>
      <c r="BL69" s="185"/>
      <c r="BM69" s="185"/>
    </row>
    <row r="70" spans="1:65" x14ac:dyDescent="0.25">
      <c r="A70" s="185"/>
      <c r="B70" s="185"/>
      <c r="C70" s="185"/>
      <c r="D70" s="185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</row>
    <row r="71" spans="1:65" x14ac:dyDescent="0.25">
      <c r="AT71" s="185"/>
      <c r="AU71" s="185"/>
      <c r="AV71" s="185"/>
      <c r="AW71" s="185"/>
      <c r="AX71" s="185"/>
      <c r="AY71" s="185"/>
      <c r="AZ71" s="185"/>
      <c r="BA71" s="185"/>
      <c r="BB71" s="185"/>
      <c r="BC71" s="185"/>
      <c r="BD71" s="185"/>
      <c r="BE71" s="185"/>
      <c r="BF71" s="185"/>
      <c r="BG71" s="185"/>
      <c r="BH71" s="185"/>
      <c r="BI71" s="185"/>
      <c r="BJ71" s="185"/>
      <c r="BK71" s="185"/>
      <c r="BL71" s="185"/>
      <c r="BM71" s="185"/>
    </row>
  </sheetData>
  <sheetProtection algorithmName="SHA-512" hashValue="d0ZIzaAg2VtOkJRdCqvbo/biCXyOXXt07/s6eXud3DfviowMDbBYzSLuHtq3gzNqqPZ2fqRTAlE3rnXgbJBvvw==" saltValue="BLzTvLmAfAOmiRJBOKwUDg==" spinCount="100000" sheet="1" objects="1" scenarios="1"/>
  <mergeCells count="1">
    <mergeCell ref="Z7:AF7"/>
  </mergeCells>
  <phoneticPr fontId="33" type="noConversion"/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0" tint="-0.34998626667073579"/>
  </sheetPr>
  <dimension ref="A1:AF82"/>
  <sheetViews>
    <sheetView showGridLines="0" zoomScaleNormal="100" workbookViewId="0">
      <selection activeCell="E25" sqref="E25"/>
    </sheetView>
  </sheetViews>
  <sheetFormatPr defaultRowHeight="15" x14ac:dyDescent="0.25"/>
  <cols>
    <col min="1" max="1" width="4" customWidth="1"/>
    <col min="2" max="2" width="20.140625" customWidth="1"/>
    <col min="3" max="3" width="4.7109375" customWidth="1"/>
    <col min="4" max="4" width="62.42578125" customWidth="1"/>
    <col min="5" max="5" width="10.85546875" customWidth="1"/>
    <col min="6" max="6" width="21.5703125" customWidth="1"/>
    <col min="7" max="7" width="16.5703125" customWidth="1"/>
    <col min="8" max="8" width="17.5703125" customWidth="1"/>
    <col min="9" max="9" width="6.140625" customWidth="1"/>
    <col min="10" max="10" width="6.85546875" customWidth="1"/>
  </cols>
  <sheetData>
    <row r="1" spans="1:32" ht="22.5" customHeight="1" x14ac:dyDescent="0.3">
      <c r="A1" s="21"/>
      <c r="B1" s="39" t="str">
        <f>Choices!$C$1</f>
        <v>Angelus Block Carbon Calculator</v>
      </c>
      <c r="C1" s="22"/>
      <c r="D1" s="22"/>
      <c r="E1" s="22"/>
      <c r="F1" s="21"/>
      <c r="G1" s="21"/>
      <c r="H1" s="21"/>
      <c r="I1" s="21"/>
      <c r="J1" s="96" t="str">
        <f>ver</f>
        <v>ver 1.9</v>
      </c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</row>
    <row r="2" spans="1:32" ht="26.25" x14ac:dyDescent="0.4">
      <c r="A2" s="21"/>
      <c r="B2" s="166" t="s">
        <v>78</v>
      </c>
      <c r="C2" s="22"/>
      <c r="D2" s="22"/>
      <c r="E2" s="22"/>
      <c r="F2" s="21"/>
      <c r="G2" s="21"/>
      <c r="H2" s="21"/>
      <c r="I2" s="21"/>
      <c r="J2" s="21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</row>
    <row r="3" spans="1:32" ht="20.25" x14ac:dyDescent="0.35">
      <c r="A3" s="21"/>
      <c r="B3" s="39" t="s">
        <v>59</v>
      </c>
      <c r="C3" s="22"/>
      <c r="D3" s="22"/>
      <c r="E3" s="22"/>
      <c r="F3" s="21"/>
      <c r="G3" s="21"/>
      <c r="H3" s="21"/>
      <c r="I3" s="21"/>
      <c r="J3" s="21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</row>
    <row r="4" spans="1:32" x14ac:dyDescent="0.25">
      <c r="A4" s="21"/>
      <c r="B4" s="21"/>
      <c r="C4" s="22"/>
      <c r="D4" s="21"/>
      <c r="E4" s="22"/>
      <c r="F4" s="21"/>
      <c r="G4" s="21"/>
      <c r="H4" s="21"/>
      <c r="I4" s="21"/>
      <c r="J4" s="21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</row>
    <row r="5" spans="1:32" x14ac:dyDescent="0.25">
      <c r="A5" s="21"/>
      <c r="B5" s="21"/>
      <c r="C5" s="24">
        <v>12</v>
      </c>
      <c r="D5" s="84" t="s">
        <v>222</v>
      </c>
      <c r="E5" s="24">
        <v>919</v>
      </c>
      <c r="F5" s="68" t="s">
        <v>218</v>
      </c>
      <c r="G5" s="270"/>
      <c r="H5" s="21"/>
      <c r="I5" s="21"/>
      <c r="J5" s="21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</row>
    <row r="6" spans="1:32" x14ac:dyDescent="0.25">
      <c r="A6" s="21"/>
      <c r="B6" s="21"/>
      <c r="C6" s="59"/>
      <c r="D6" s="25"/>
      <c r="E6" s="59"/>
      <c r="F6" s="68"/>
      <c r="G6" s="271"/>
      <c r="H6" s="21"/>
      <c r="I6" s="21"/>
      <c r="J6" s="21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</row>
    <row r="7" spans="1:32" x14ac:dyDescent="0.25">
      <c r="A7" s="21"/>
      <c r="B7" s="21"/>
      <c r="C7" s="248">
        <v>14</v>
      </c>
      <c r="D7" s="249" t="s">
        <v>225</v>
      </c>
      <c r="E7" s="248">
        <v>774</v>
      </c>
      <c r="F7" s="68" t="s">
        <v>218</v>
      </c>
      <c r="G7" s="270"/>
      <c r="H7" s="21"/>
      <c r="I7" s="21"/>
      <c r="J7" s="21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</row>
    <row r="8" spans="1:32" x14ac:dyDescent="0.25">
      <c r="A8" s="21"/>
      <c r="B8" s="21"/>
      <c r="C8" s="59"/>
      <c r="D8" s="25"/>
      <c r="E8" s="59"/>
      <c r="F8" s="68"/>
      <c r="G8" s="271"/>
      <c r="H8" s="21"/>
      <c r="I8" s="21"/>
      <c r="J8" s="21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</row>
    <row r="9" spans="1:32" x14ac:dyDescent="0.25">
      <c r="A9" s="21"/>
      <c r="B9" s="21"/>
      <c r="C9" s="246">
        <v>13</v>
      </c>
      <c r="D9" s="247" t="s">
        <v>167</v>
      </c>
      <c r="E9" s="246">
        <v>1100</v>
      </c>
      <c r="F9" s="68" t="s">
        <v>217</v>
      </c>
      <c r="G9" s="270"/>
      <c r="H9" s="22"/>
      <c r="I9" s="33"/>
      <c r="J9" s="21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</row>
    <row r="10" spans="1:32" x14ac:dyDescent="0.25">
      <c r="A10" s="21"/>
      <c r="B10" s="21"/>
      <c r="C10" s="59"/>
      <c r="D10" s="25"/>
      <c r="E10" s="59"/>
      <c r="F10" s="68"/>
      <c r="G10" s="271"/>
      <c r="H10" s="83"/>
      <c r="I10" s="33"/>
      <c r="J10" s="21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</row>
    <row r="11" spans="1:32" x14ac:dyDescent="0.25">
      <c r="A11" s="21"/>
      <c r="B11" s="21"/>
      <c r="C11" s="250">
        <v>15</v>
      </c>
      <c r="D11" s="251" t="s">
        <v>115</v>
      </c>
      <c r="E11" s="250">
        <v>3.92</v>
      </c>
      <c r="F11" s="68" t="s">
        <v>218</v>
      </c>
      <c r="G11" s="271"/>
      <c r="H11" s="21"/>
      <c r="I11" s="21"/>
      <c r="J11" s="21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</row>
    <row r="12" spans="1:32" x14ac:dyDescent="0.25">
      <c r="A12" s="21"/>
      <c r="B12" s="21"/>
      <c r="C12" s="59"/>
      <c r="D12" s="25"/>
      <c r="E12" s="59"/>
      <c r="F12" s="68"/>
      <c r="G12" s="271"/>
      <c r="H12" s="21"/>
      <c r="I12" s="21"/>
      <c r="J12" s="21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</row>
    <row r="13" spans="1:32" x14ac:dyDescent="0.25">
      <c r="A13" s="21"/>
      <c r="B13" s="21"/>
      <c r="C13" s="183">
        <v>16</v>
      </c>
      <c r="D13" s="184" t="s">
        <v>180</v>
      </c>
      <c r="E13" s="183">
        <v>147</v>
      </c>
      <c r="F13" s="68" t="s">
        <v>218</v>
      </c>
      <c r="G13" s="270"/>
      <c r="H13" s="21"/>
      <c r="I13" s="21"/>
      <c r="J13" s="21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</row>
    <row r="14" spans="1:32" x14ac:dyDescent="0.25">
      <c r="A14" s="21"/>
      <c r="B14" s="21"/>
      <c r="C14" s="59"/>
      <c r="D14" s="25"/>
      <c r="E14" s="59"/>
      <c r="F14" s="68"/>
      <c r="G14" s="271"/>
      <c r="H14" s="21"/>
      <c r="I14" s="21"/>
      <c r="J14" s="21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</row>
    <row r="15" spans="1:32" x14ac:dyDescent="0.25">
      <c r="A15" s="21"/>
      <c r="B15" s="21"/>
      <c r="C15" s="89">
        <v>17</v>
      </c>
      <c r="D15" s="90" t="s">
        <v>46</v>
      </c>
      <c r="E15" s="102">
        <v>4.5</v>
      </c>
      <c r="F15" s="68" t="s">
        <v>218</v>
      </c>
      <c r="G15" s="271"/>
      <c r="H15" s="21"/>
      <c r="I15" s="21"/>
      <c r="J15" s="21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</row>
    <row r="16" spans="1:32" x14ac:dyDescent="0.25">
      <c r="A16" s="21"/>
      <c r="B16" s="21"/>
      <c r="C16" s="21"/>
      <c r="D16" s="21"/>
      <c r="E16" s="20"/>
      <c r="F16" s="21"/>
      <c r="G16" s="271"/>
      <c r="H16" s="21"/>
      <c r="I16" s="21"/>
      <c r="J16" s="21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</row>
    <row r="17" spans="1:32" x14ac:dyDescent="0.25">
      <c r="A17" s="21"/>
      <c r="B17" s="21"/>
      <c r="C17" s="87">
        <v>18</v>
      </c>
      <c r="D17" s="88" t="s">
        <v>48</v>
      </c>
      <c r="E17" s="103">
        <v>3.63</v>
      </c>
      <c r="F17" s="68" t="s">
        <v>218</v>
      </c>
      <c r="G17" s="270"/>
      <c r="H17" s="21"/>
      <c r="I17" s="21"/>
      <c r="J17" s="21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</row>
    <row r="18" spans="1:32" x14ac:dyDescent="0.25">
      <c r="A18" s="21"/>
      <c r="B18" s="21"/>
      <c r="C18" s="21"/>
      <c r="D18" s="21"/>
      <c r="E18" s="21"/>
      <c r="F18" s="21"/>
      <c r="G18" s="271"/>
      <c r="H18" s="21"/>
      <c r="I18" s="21"/>
      <c r="J18" s="21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</row>
    <row r="19" spans="1:32" x14ac:dyDescent="0.25">
      <c r="A19" s="21"/>
      <c r="B19" s="21"/>
      <c r="C19" s="85">
        <v>19</v>
      </c>
      <c r="D19" s="86" t="s">
        <v>15</v>
      </c>
      <c r="E19" s="86">
        <v>854</v>
      </c>
      <c r="F19" s="68" t="s">
        <v>218</v>
      </c>
      <c r="G19" s="270"/>
      <c r="H19" s="21"/>
      <c r="I19" s="21"/>
      <c r="J19" s="21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</row>
    <row r="20" spans="1:32" x14ac:dyDescent="0.25">
      <c r="A20" s="21"/>
      <c r="B20" s="21"/>
      <c r="C20" s="22"/>
      <c r="D20" s="21"/>
      <c r="E20" s="22"/>
      <c r="F20" s="33"/>
      <c r="G20" s="21"/>
      <c r="H20" s="21"/>
      <c r="I20" s="21"/>
      <c r="J20" s="21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</row>
    <row r="21" spans="1:32" x14ac:dyDescent="0.25">
      <c r="A21" s="112"/>
      <c r="B21" s="112"/>
      <c r="C21" s="113"/>
      <c r="D21" s="112"/>
      <c r="E21" s="113"/>
      <c r="F21" s="199"/>
      <c r="G21" s="112"/>
      <c r="H21" s="112"/>
      <c r="I21" s="112"/>
      <c r="J21" s="112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</row>
    <row r="22" spans="1:32" x14ac:dyDescent="0.25">
      <c r="A22" s="21"/>
      <c r="B22" s="21"/>
      <c r="C22" s="22"/>
      <c r="D22" s="21"/>
      <c r="E22" s="22"/>
      <c r="F22" s="33"/>
      <c r="G22" s="21"/>
      <c r="H22" s="21"/>
      <c r="I22" s="21"/>
      <c r="J22" s="21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</row>
    <row r="23" spans="1:32" x14ac:dyDescent="0.25">
      <c r="A23" s="21"/>
      <c r="B23" s="308" t="s">
        <v>134</v>
      </c>
      <c r="C23" s="308"/>
      <c r="D23" s="307" t="s">
        <v>188</v>
      </c>
      <c r="E23" s="307"/>
      <c r="F23" s="307"/>
      <c r="G23" s="37"/>
      <c r="H23" s="21"/>
      <c r="I23" s="21"/>
      <c r="J23" s="21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</row>
    <row r="24" spans="1:32" x14ac:dyDescent="0.25">
      <c r="A24" s="21"/>
      <c r="B24" s="34" t="s">
        <v>189</v>
      </c>
      <c r="C24" s="37"/>
      <c r="D24" s="34" t="s">
        <v>199</v>
      </c>
      <c r="E24" s="34" t="s">
        <v>124</v>
      </c>
      <c r="F24" s="37"/>
      <c r="G24" s="37"/>
      <c r="H24" s="21"/>
      <c r="I24" s="21"/>
      <c r="J24" s="21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</row>
    <row r="25" spans="1:32" ht="17.25" customHeight="1" x14ac:dyDescent="0.25">
      <c r="A25" s="21"/>
      <c r="B25" s="22" t="s">
        <v>190</v>
      </c>
      <c r="C25" s="22" t="s">
        <v>125</v>
      </c>
      <c r="D25" s="138" t="s">
        <v>186</v>
      </c>
      <c r="E25" s="5">
        <v>157</v>
      </c>
      <c r="F25" s="68" t="s">
        <v>218</v>
      </c>
      <c r="G25" s="191">
        <v>45670</v>
      </c>
      <c r="H25" s="21"/>
      <c r="I25" s="21"/>
      <c r="J25" s="21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</row>
    <row r="26" spans="1:32" x14ac:dyDescent="0.25">
      <c r="A26" s="21"/>
      <c r="B26" s="22" t="s">
        <v>193</v>
      </c>
      <c r="C26" s="22" t="s">
        <v>126</v>
      </c>
      <c r="D26" s="138" t="s">
        <v>186</v>
      </c>
      <c r="E26" s="5">
        <v>162</v>
      </c>
      <c r="F26" s="68" t="s">
        <v>218</v>
      </c>
      <c r="G26" s="191">
        <v>45670</v>
      </c>
      <c r="H26" s="21"/>
      <c r="I26" s="21"/>
      <c r="J26" s="21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</row>
    <row r="27" spans="1:32" x14ac:dyDescent="0.25">
      <c r="A27" s="21"/>
      <c r="B27" s="22" t="s">
        <v>194</v>
      </c>
      <c r="C27" s="22" t="s">
        <v>127</v>
      </c>
      <c r="D27" s="138" t="s">
        <v>186</v>
      </c>
      <c r="E27" s="5">
        <v>161</v>
      </c>
      <c r="F27" s="68" t="s">
        <v>218</v>
      </c>
      <c r="G27" s="191">
        <v>45670</v>
      </c>
      <c r="H27" s="21"/>
      <c r="I27" s="21"/>
      <c r="J27" s="21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</row>
    <row r="28" spans="1:32" x14ac:dyDescent="0.25">
      <c r="A28" s="21"/>
      <c r="B28" s="22" t="s">
        <v>195</v>
      </c>
      <c r="C28" s="22" t="s">
        <v>128</v>
      </c>
      <c r="D28" s="138" t="s">
        <v>186</v>
      </c>
      <c r="E28" s="5">
        <v>157</v>
      </c>
      <c r="F28" s="68" t="s">
        <v>218</v>
      </c>
      <c r="G28" s="191">
        <v>45670</v>
      </c>
      <c r="H28" s="21"/>
      <c r="I28" s="21"/>
      <c r="J28" s="21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</row>
    <row r="29" spans="1:32" x14ac:dyDescent="0.25">
      <c r="A29" s="21"/>
      <c r="B29" s="22" t="s">
        <v>196</v>
      </c>
      <c r="C29" s="22" t="s">
        <v>129</v>
      </c>
      <c r="D29" s="138" t="s">
        <v>186</v>
      </c>
      <c r="E29" s="5">
        <v>162</v>
      </c>
      <c r="F29" s="68" t="s">
        <v>218</v>
      </c>
      <c r="G29" s="191">
        <v>45670</v>
      </c>
      <c r="H29" s="21"/>
      <c r="I29" s="21"/>
      <c r="J29" s="21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</row>
    <row r="30" spans="1:32" x14ac:dyDescent="0.25">
      <c r="A30" s="21"/>
      <c r="B30" s="22" t="s">
        <v>197</v>
      </c>
      <c r="C30" s="22" t="s">
        <v>130</v>
      </c>
      <c r="D30" s="138" t="s">
        <v>186</v>
      </c>
      <c r="E30" s="5">
        <v>163</v>
      </c>
      <c r="F30" s="68" t="s">
        <v>218</v>
      </c>
      <c r="G30" s="191">
        <v>45670</v>
      </c>
      <c r="H30" s="21"/>
      <c r="I30" s="21"/>
      <c r="J30" s="21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</row>
    <row r="31" spans="1:32" x14ac:dyDescent="0.25">
      <c r="A31" s="21"/>
      <c r="B31" s="22" t="s">
        <v>197</v>
      </c>
      <c r="C31" s="22" t="s">
        <v>130</v>
      </c>
      <c r="D31" s="22" t="s">
        <v>198</v>
      </c>
      <c r="E31" s="5">
        <v>198</v>
      </c>
      <c r="F31" s="68" t="s">
        <v>218</v>
      </c>
      <c r="G31" s="191">
        <v>45670</v>
      </c>
      <c r="H31" s="21"/>
      <c r="I31" s="21"/>
      <c r="J31" s="21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</row>
    <row r="32" spans="1:32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</row>
    <row r="33" spans="1:32" x14ac:dyDescent="0.25">
      <c r="A33" s="185"/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</row>
    <row r="34" spans="1:32" x14ac:dyDescent="0.25">
      <c r="A34" s="185"/>
      <c r="B34" s="185"/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</row>
    <row r="35" spans="1:32" x14ac:dyDescent="0.25">
      <c r="A35" s="185"/>
      <c r="B35" s="185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</row>
    <row r="36" spans="1:32" x14ac:dyDescent="0.25">
      <c r="A36" s="185"/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</row>
    <row r="37" spans="1:32" x14ac:dyDescent="0.25">
      <c r="A37" s="185"/>
      <c r="B37" s="185"/>
      <c r="C37" s="185"/>
      <c r="D37" s="185"/>
      <c r="E37" s="185"/>
      <c r="F37" s="185"/>
      <c r="G37" s="185"/>
      <c r="H37" s="185"/>
      <c r="I37" s="200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</row>
    <row r="38" spans="1:32" x14ac:dyDescent="0.25">
      <c r="A38" s="185"/>
      <c r="B38" s="185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</row>
    <row r="39" spans="1:32" x14ac:dyDescent="0.25">
      <c r="A39" s="185"/>
      <c r="B39" s="185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</row>
    <row r="40" spans="1:32" x14ac:dyDescent="0.25">
      <c r="A40" s="185"/>
      <c r="B40" s="185"/>
      <c r="C40" s="185"/>
      <c r="D40" s="185"/>
      <c r="E40" s="185"/>
      <c r="F40" s="185"/>
      <c r="G40" s="185"/>
      <c r="H40" s="185"/>
      <c r="I40" s="185"/>
      <c r="J40" s="200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</row>
    <row r="41" spans="1:32" x14ac:dyDescent="0.25">
      <c r="A41" s="185"/>
      <c r="B41" s="185"/>
      <c r="C41" s="185"/>
      <c r="D41" s="185"/>
      <c r="E41" s="185"/>
      <c r="F41" s="185"/>
      <c r="G41" s="185"/>
      <c r="H41" s="185"/>
      <c r="I41" s="185"/>
      <c r="J41" s="200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</row>
    <row r="42" spans="1:32" x14ac:dyDescent="0.25">
      <c r="A42" s="185"/>
      <c r="B42" s="185"/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</row>
    <row r="43" spans="1:32" x14ac:dyDescent="0.25">
      <c r="A43" s="185"/>
      <c r="B43" s="185"/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</row>
    <row r="44" spans="1:32" x14ac:dyDescent="0.25">
      <c r="A44" s="185"/>
      <c r="B44" s="185"/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</row>
    <row r="45" spans="1:32" x14ac:dyDescent="0.25">
      <c r="A45" s="185"/>
      <c r="B45" s="185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</row>
    <row r="46" spans="1:32" x14ac:dyDescent="0.25">
      <c r="A46" s="185"/>
      <c r="B46" s="185"/>
      <c r="C46" s="185"/>
      <c r="D46" s="185"/>
      <c r="E46" s="185"/>
      <c r="F46" s="185"/>
      <c r="G46" s="185"/>
      <c r="H46" s="185"/>
      <c r="I46" s="185"/>
      <c r="J46" s="201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</row>
    <row r="47" spans="1:32" x14ac:dyDescent="0.25">
      <c r="A47" s="185"/>
      <c r="B47" s="185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</row>
    <row r="48" spans="1:32" x14ac:dyDescent="0.25">
      <c r="A48" s="185"/>
      <c r="B48" s="185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</row>
    <row r="49" spans="1:32" x14ac:dyDescent="0.25">
      <c r="A49" s="185"/>
      <c r="B49" s="185"/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</row>
    <row r="50" spans="1:32" x14ac:dyDescent="0.25">
      <c r="A50" s="185"/>
      <c r="B50" s="185"/>
      <c r="C50" s="185"/>
      <c r="D50" s="185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</row>
    <row r="51" spans="1:32" x14ac:dyDescent="0.25">
      <c r="A51" s="185"/>
      <c r="B51" s="185"/>
      <c r="C51" s="185"/>
      <c r="D51" s="185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</row>
    <row r="52" spans="1:32" x14ac:dyDescent="0.25">
      <c r="A52" s="185"/>
      <c r="B52" s="185"/>
      <c r="C52" s="185"/>
      <c r="D52" s="185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</row>
    <row r="53" spans="1:32" x14ac:dyDescent="0.25">
      <c r="A53" s="185"/>
      <c r="B53" s="185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</row>
    <row r="54" spans="1:32" x14ac:dyDescent="0.25">
      <c r="A54" s="185"/>
      <c r="B54" s="185"/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</row>
    <row r="55" spans="1:32" x14ac:dyDescent="0.25">
      <c r="A55" s="185"/>
      <c r="B55" s="185"/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</row>
    <row r="56" spans="1:32" x14ac:dyDescent="0.25">
      <c r="A56" s="185"/>
      <c r="B56" s="185"/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</row>
    <row r="57" spans="1:32" x14ac:dyDescent="0.25">
      <c r="A57" s="185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</row>
    <row r="58" spans="1:32" x14ac:dyDescent="0.25">
      <c r="A58" s="185"/>
      <c r="B58" s="185"/>
      <c r="C58" s="185"/>
      <c r="D58" s="185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</row>
    <row r="59" spans="1:32" x14ac:dyDescent="0.25">
      <c r="A59" s="185"/>
      <c r="B59" s="185"/>
      <c r="C59" s="185"/>
      <c r="D59" s="185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</row>
    <row r="60" spans="1:32" x14ac:dyDescent="0.25">
      <c r="A60" s="185"/>
      <c r="B60" s="185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</row>
    <row r="61" spans="1:32" x14ac:dyDescent="0.25">
      <c r="A61" s="185"/>
      <c r="B61" s="185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</row>
    <row r="62" spans="1:32" x14ac:dyDescent="0.25">
      <c r="A62" s="185"/>
      <c r="B62" s="185"/>
      <c r="C62" s="185"/>
      <c r="D62" s="185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</row>
    <row r="63" spans="1:32" x14ac:dyDescent="0.25">
      <c r="A63" s="185"/>
      <c r="B63" s="185"/>
      <c r="C63" s="185"/>
      <c r="D63" s="185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</row>
    <row r="64" spans="1:32" x14ac:dyDescent="0.25">
      <c r="A64" s="185"/>
      <c r="B64" s="185"/>
      <c r="C64" s="185"/>
      <c r="D64" s="185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</row>
    <row r="65" spans="1:32" x14ac:dyDescent="0.25">
      <c r="A65" s="185"/>
      <c r="B65" s="185"/>
      <c r="C65" s="185"/>
      <c r="D65" s="185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</row>
    <row r="66" spans="1:32" x14ac:dyDescent="0.25">
      <c r="A66" s="185"/>
      <c r="B66" s="185"/>
      <c r="C66" s="185"/>
      <c r="D66" s="185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</row>
    <row r="67" spans="1:32" x14ac:dyDescent="0.25">
      <c r="A67" s="185"/>
      <c r="B67" s="185"/>
      <c r="C67" s="185"/>
      <c r="D67" s="185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5"/>
      <c r="AF67" s="185"/>
    </row>
    <row r="68" spans="1:32" x14ac:dyDescent="0.25">
      <c r="A68" s="185"/>
      <c r="B68" s="185"/>
      <c r="C68" s="185"/>
      <c r="D68" s="185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</row>
    <row r="69" spans="1:32" x14ac:dyDescent="0.25">
      <c r="A69" s="185"/>
      <c r="B69" s="185"/>
      <c r="C69" s="185"/>
      <c r="D69" s="185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5"/>
      <c r="W69" s="185"/>
      <c r="X69" s="185"/>
      <c r="Y69" s="185"/>
      <c r="Z69" s="185"/>
      <c r="AA69" s="185"/>
      <c r="AB69" s="185"/>
      <c r="AC69" s="185"/>
      <c r="AD69" s="185"/>
      <c r="AE69" s="185"/>
      <c r="AF69" s="185"/>
    </row>
    <row r="70" spans="1:32" x14ac:dyDescent="0.25">
      <c r="A70" s="185"/>
      <c r="B70" s="185"/>
      <c r="C70" s="185"/>
      <c r="D70" s="185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Z70" s="185"/>
      <c r="AA70" s="185"/>
      <c r="AB70" s="185"/>
      <c r="AC70" s="185"/>
      <c r="AD70" s="185"/>
      <c r="AE70" s="185"/>
      <c r="AF70" s="185"/>
    </row>
    <row r="71" spans="1:32" x14ac:dyDescent="0.25">
      <c r="A71" s="185"/>
      <c r="B71" s="185"/>
      <c r="C71" s="185"/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</row>
    <row r="72" spans="1:32" x14ac:dyDescent="0.25">
      <c r="A72" s="185"/>
      <c r="B72" s="185"/>
      <c r="C72" s="185"/>
      <c r="D72" s="185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  <c r="W72" s="185"/>
      <c r="X72" s="185"/>
      <c r="Y72" s="185"/>
      <c r="Z72" s="185"/>
      <c r="AA72" s="185"/>
      <c r="AB72" s="185"/>
      <c r="AC72" s="185"/>
      <c r="AD72" s="185"/>
      <c r="AE72" s="185"/>
      <c r="AF72" s="185"/>
    </row>
    <row r="73" spans="1:32" x14ac:dyDescent="0.25">
      <c r="A73" s="185"/>
      <c r="B73" s="185"/>
      <c r="C73" s="185"/>
      <c r="D73" s="185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</row>
    <row r="74" spans="1:32" x14ac:dyDescent="0.25">
      <c r="A74" s="185"/>
      <c r="B74" s="185"/>
      <c r="C74" s="185"/>
      <c r="D74" s="185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</row>
    <row r="75" spans="1:32" x14ac:dyDescent="0.25">
      <c r="A75" s="185"/>
      <c r="B75" s="185"/>
      <c r="C75" s="185"/>
      <c r="D75" s="185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  <c r="AC75" s="185"/>
      <c r="AD75" s="185"/>
      <c r="AE75" s="185"/>
      <c r="AF75" s="185"/>
    </row>
    <row r="76" spans="1:32" x14ac:dyDescent="0.25">
      <c r="A76" s="185"/>
      <c r="B76" s="185"/>
      <c r="C76" s="185"/>
      <c r="D76" s="185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85"/>
      <c r="AE76" s="185"/>
      <c r="AF76" s="185"/>
    </row>
    <row r="77" spans="1:32" x14ac:dyDescent="0.25">
      <c r="A77" s="185"/>
      <c r="B77" s="185"/>
      <c r="C77" s="185"/>
      <c r="D77" s="185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  <c r="AC77" s="185"/>
      <c r="AD77" s="185"/>
      <c r="AE77" s="185"/>
      <c r="AF77" s="185"/>
    </row>
    <row r="78" spans="1:32" x14ac:dyDescent="0.25">
      <c r="A78" s="185"/>
      <c r="B78" s="185"/>
      <c r="C78" s="185"/>
      <c r="D78" s="185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</row>
    <row r="79" spans="1:32" x14ac:dyDescent="0.25">
      <c r="A79" s="185"/>
      <c r="B79" s="185"/>
      <c r="C79" s="185"/>
      <c r="D79" s="185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  <c r="R79" s="185"/>
      <c r="S79" s="185"/>
      <c r="T79" s="185"/>
      <c r="U79" s="185"/>
      <c r="V79" s="185"/>
      <c r="W79" s="185"/>
      <c r="X79" s="185"/>
      <c r="Y79" s="185"/>
      <c r="Z79" s="185"/>
      <c r="AA79" s="185"/>
      <c r="AB79" s="185"/>
      <c r="AC79" s="185"/>
      <c r="AD79" s="185"/>
      <c r="AE79" s="185"/>
      <c r="AF79" s="185"/>
    </row>
    <row r="80" spans="1:32" x14ac:dyDescent="0.25">
      <c r="A80" s="185"/>
      <c r="B80" s="185"/>
      <c r="C80" s="185"/>
      <c r="D80" s="185"/>
      <c r="E80" s="185"/>
      <c r="F80" s="185"/>
      <c r="G80" s="185"/>
      <c r="H80" s="185"/>
      <c r="I80" s="185"/>
      <c r="J80" s="185"/>
      <c r="K80" s="185"/>
      <c r="L80" s="185"/>
      <c r="M80" s="185"/>
      <c r="N80" s="185"/>
      <c r="O80" s="185"/>
      <c r="P80" s="185"/>
      <c r="Q80" s="185"/>
      <c r="R80" s="185"/>
      <c r="S80" s="185"/>
      <c r="T80" s="185"/>
      <c r="U80" s="185"/>
      <c r="V80" s="185"/>
      <c r="W80" s="185"/>
      <c r="X80" s="185"/>
      <c r="Y80" s="185"/>
      <c r="Z80" s="185"/>
      <c r="AA80" s="185"/>
      <c r="AB80" s="185"/>
      <c r="AC80" s="185"/>
      <c r="AD80" s="185"/>
      <c r="AE80" s="185"/>
      <c r="AF80" s="185"/>
    </row>
    <row r="81" spans="1:32" x14ac:dyDescent="0.25">
      <c r="A81" s="185"/>
      <c r="B81" s="185"/>
      <c r="C81" s="185"/>
      <c r="D81" s="185"/>
      <c r="E81" s="185"/>
      <c r="F81" s="185"/>
      <c r="G81" s="185"/>
      <c r="H81" s="185"/>
      <c r="I81" s="185"/>
      <c r="J81" s="185"/>
      <c r="K81" s="185"/>
      <c r="L81" s="185"/>
      <c r="M81" s="185"/>
      <c r="N81" s="185"/>
      <c r="O81" s="185"/>
      <c r="P81" s="185"/>
      <c r="Q81" s="185"/>
      <c r="R81" s="185"/>
      <c r="S81" s="185"/>
      <c r="T81" s="185"/>
      <c r="U81" s="185"/>
      <c r="V81" s="185"/>
      <c r="W81" s="185"/>
      <c r="X81" s="185"/>
      <c r="Y81" s="185"/>
      <c r="Z81" s="185"/>
      <c r="AA81" s="185"/>
      <c r="AB81" s="185"/>
      <c r="AC81" s="185"/>
      <c r="AD81" s="185"/>
      <c r="AE81" s="185"/>
      <c r="AF81" s="185"/>
    </row>
    <row r="82" spans="1:32" x14ac:dyDescent="0.25">
      <c r="A82" s="185"/>
      <c r="B82" s="185"/>
      <c r="C82" s="185"/>
      <c r="D82" s="185"/>
      <c r="E82" s="185"/>
      <c r="F82" s="185"/>
      <c r="G82" s="185"/>
      <c r="H82" s="185"/>
      <c r="I82" s="185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</row>
  </sheetData>
  <sheetProtection algorithmName="SHA-512" hashValue="LZg7fZbBoXiOxnyr3NM46DukkMCMp7zzX9D+1RM8K29KHzTncJEH9nFKvgkEOmUaETnxyo3WMX0B0tHhHHw6fQ==" saltValue="a22y+97Viu+O0aqnOEjeDw==" spinCount="100000" sheet="1" objects="1" scenarios="1"/>
  <mergeCells count="2">
    <mergeCell ref="D23:F23"/>
    <mergeCell ref="B23:C23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theme="1" tint="0.34998626667073579"/>
  </sheetPr>
  <dimension ref="A1:AK57"/>
  <sheetViews>
    <sheetView showGridLines="0" workbookViewId="0">
      <selection activeCell="I9" sqref="I9"/>
    </sheetView>
  </sheetViews>
  <sheetFormatPr defaultRowHeight="15" x14ac:dyDescent="0.25"/>
  <cols>
    <col min="1" max="1" width="3.5703125" customWidth="1"/>
    <col min="2" max="2" width="7.7109375" customWidth="1"/>
    <col min="3" max="3" width="34" customWidth="1"/>
    <col min="4" max="4" width="8.28515625" customWidth="1"/>
    <col min="5" max="5" width="6.5703125" customWidth="1"/>
    <col min="6" max="6" width="7.42578125" customWidth="1"/>
    <col min="7" max="7" width="8.7109375" customWidth="1"/>
    <col min="8" max="8" width="6.5703125" customWidth="1"/>
    <col min="9" max="9" width="4.42578125" customWidth="1"/>
    <col min="10" max="10" width="5.7109375" customWidth="1"/>
    <col min="11" max="11" width="4.85546875" customWidth="1"/>
    <col min="12" max="12" width="7.7109375" customWidth="1"/>
    <col min="13" max="13" width="7.85546875" customWidth="1"/>
    <col min="14" max="14" width="6" customWidth="1"/>
    <col min="15" max="15" width="7.140625" customWidth="1"/>
    <col min="17" max="17" width="13.42578125" customWidth="1"/>
    <col min="18" max="18" width="7" customWidth="1"/>
    <col min="19" max="19" width="26.5703125" customWidth="1"/>
    <col min="20" max="20" width="7.5703125" customWidth="1"/>
  </cols>
  <sheetData>
    <row r="1" spans="1:37" ht="21.75" customHeight="1" x14ac:dyDescent="0.3">
      <c r="A1" s="21"/>
      <c r="B1" s="39" t="str">
        <f>Choices!$C$1</f>
        <v>Angelus Block Carbon Calculator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96" t="str">
        <f>ver</f>
        <v>ver 1.9</v>
      </c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</row>
    <row r="2" spans="1:37" ht="26.25" x14ac:dyDescent="0.4">
      <c r="A2" s="21"/>
      <c r="B2" s="166" t="s">
        <v>3</v>
      </c>
      <c r="C2" s="21"/>
      <c r="D2" s="181" t="s">
        <v>164</v>
      </c>
      <c r="E2" s="94"/>
      <c r="F2" s="178">
        <v>2.8317102804373401E-2</v>
      </c>
      <c r="G2" s="94" t="s">
        <v>170</v>
      </c>
      <c r="H2" s="21"/>
      <c r="I2" s="21"/>
      <c r="J2" s="21"/>
      <c r="K2" s="21"/>
      <c r="L2" s="21"/>
      <c r="M2" s="21"/>
      <c r="N2" s="21"/>
      <c r="O2" s="21"/>
      <c r="P2" s="21" t="s">
        <v>41</v>
      </c>
      <c r="Q2" s="21"/>
      <c r="R2" s="21"/>
      <c r="S2" s="21"/>
      <c r="T2" s="21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</row>
    <row r="3" spans="1:37" ht="36" customHeight="1" x14ac:dyDescent="0.25">
      <c r="A3" s="21"/>
      <c r="B3" s="22"/>
      <c r="C3" s="266" t="str">
        <f>EPD!D7</f>
        <v>ASTM  C595 Portland Cement Type IL (CalPortland Advancement LT)</v>
      </c>
      <c r="D3" s="259">
        <f>H3/F3/1000</f>
        <v>1.3827596351868197E-2</v>
      </c>
      <c r="E3" s="68" t="s">
        <v>71</v>
      </c>
      <c r="F3" s="24">
        <v>3.09</v>
      </c>
      <c r="G3" s="260"/>
      <c r="H3" s="261">
        <f>R3*J3</f>
        <v>42.727272727272727</v>
      </c>
      <c r="I3" s="68" t="s">
        <v>27</v>
      </c>
      <c r="J3" s="262">
        <v>1</v>
      </c>
      <c r="K3" s="68" t="s">
        <v>138</v>
      </c>
      <c r="L3" s="263">
        <f>R3/F2</f>
        <v>1508.8857438012255</v>
      </c>
      <c r="M3" s="68" t="s">
        <v>72</v>
      </c>
      <c r="N3" s="264">
        <f>H3/$H$8</f>
        <v>0.17083630633776611</v>
      </c>
      <c r="O3" s="25"/>
      <c r="P3" s="248">
        <f>EPD!E7</f>
        <v>774</v>
      </c>
      <c r="Q3" s="68" t="s">
        <v>64</v>
      </c>
      <c r="R3" s="265">
        <f>94/2.2</f>
        <v>42.727272727272727</v>
      </c>
      <c r="S3" s="68" t="s">
        <v>168</v>
      </c>
      <c r="T3" s="21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</row>
    <row r="4" spans="1:37" ht="18.75" x14ac:dyDescent="0.35">
      <c r="A4" s="21"/>
      <c r="B4" s="21"/>
      <c r="C4" s="22" t="str">
        <f>EPD!D9</f>
        <v>Hydrated Lime</v>
      </c>
      <c r="D4" s="92">
        <f>H4/F4/1000</f>
        <v>4.2553191489361703E-3</v>
      </c>
      <c r="E4" s="33" t="s">
        <v>71</v>
      </c>
      <c r="F4" s="5">
        <v>2.35</v>
      </c>
      <c r="G4" s="155"/>
      <c r="H4" s="14">
        <f>R4*J4</f>
        <v>10</v>
      </c>
      <c r="I4" s="33" t="s">
        <v>27</v>
      </c>
      <c r="J4" s="2">
        <f>1/2</f>
        <v>0.5</v>
      </c>
      <c r="K4" s="33" t="s">
        <v>138</v>
      </c>
      <c r="L4" s="95">
        <f>R4/m3perft3</f>
        <v>706.28694390695659</v>
      </c>
      <c r="M4" s="33" t="s">
        <v>72</v>
      </c>
      <c r="N4" s="189">
        <f>H4/$H$8</f>
        <v>3.9982965313094199E-2</v>
      </c>
      <c r="O4" s="21"/>
      <c r="P4" s="34">
        <f>LimeCO2</f>
        <v>1100</v>
      </c>
      <c r="Q4" s="33" t="s">
        <v>64</v>
      </c>
      <c r="R4" s="6">
        <v>20</v>
      </c>
      <c r="S4" s="33" t="s">
        <v>169</v>
      </c>
      <c r="T4" s="21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</row>
    <row r="5" spans="1:37" ht="18.75" x14ac:dyDescent="0.35">
      <c r="A5" s="21"/>
      <c r="B5" s="21"/>
      <c r="C5" s="22" t="str">
        <f>EPD!D15</f>
        <v>Masonry Sand</v>
      </c>
      <c r="D5" s="92">
        <f>J5*L5*m3perft3/F5/1000</f>
        <v>6.1549627227619176E-2</v>
      </c>
      <c r="E5" s="33" t="s">
        <v>71</v>
      </c>
      <c r="F5" s="5">
        <v>2.65</v>
      </c>
      <c r="G5" s="155"/>
      <c r="H5" s="93">
        <f>J5*L5*m3perft3</f>
        <v>163.10651215319081</v>
      </c>
      <c r="I5" s="33" t="s">
        <v>27</v>
      </c>
      <c r="J5" s="2">
        <f>(J3+J4)*3</f>
        <v>4.5</v>
      </c>
      <c r="K5" s="33" t="s">
        <v>138</v>
      </c>
      <c r="L5" s="5">
        <v>1280</v>
      </c>
      <c r="M5" s="33" t="s">
        <v>72</v>
      </c>
      <c r="N5" s="189">
        <f>H5/$H$8</f>
        <v>0.65214820177608046</v>
      </c>
      <c r="O5" s="21"/>
      <c r="P5" s="8">
        <f>MSandCO2</f>
        <v>4.5</v>
      </c>
      <c r="Q5" s="33" t="s">
        <v>64</v>
      </c>
      <c r="R5" s="21"/>
      <c r="S5" s="21"/>
      <c r="T5" s="21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</row>
    <row r="6" spans="1:37" ht="17.25" x14ac:dyDescent="0.25">
      <c r="A6" s="21"/>
      <c r="B6" s="21"/>
      <c r="C6" s="22" t="s">
        <v>0</v>
      </c>
      <c r="D6" s="92">
        <f>H6/F6/1000</f>
        <v>3.4272727272727274E-2</v>
      </c>
      <c r="E6" s="33" t="s">
        <v>171</v>
      </c>
      <c r="F6" s="5">
        <v>1</v>
      </c>
      <c r="G6" s="155"/>
      <c r="H6" s="159">
        <f>(H3+H4)*N6</f>
        <v>34.272727272727273</v>
      </c>
      <c r="I6" s="33" t="s">
        <v>27</v>
      </c>
      <c r="J6" s="22"/>
      <c r="K6" s="33"/>
      <c r="L6" s="22"/>
      <c r="M6" s="33"/>
      <c r="N6">
        <v>0.65</v>
      </c>
      <c r="O6" s="33" t="s">
        <v>40</v>
      </c>
      <c r="P6" s="34"/>
      <c r="Q6" s="33"/>
      <c r="R6" s="21"/>
      <c r="S6" s="21"/>
      <c r="T6" s="21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</row>
    <row r="7" spans="1:37" ht="17.25" x14ac:dyDescent="0.25">
      <c r="A7" s="21"/>
      <c r="B7" s="21"/>
      <c r="C7" s="22" t="s">
        <v>39</v>
      </c>
      <c r="D7" s="156">
        <f>L7*SUM(D3:D6)/(1-L7)</f>
        <v>2.3245973469622617E-3</v>
      </c>
      <c r="E7" s="179">
        <f>D7/D8</f>
        <v>0.02</v>
      </c>
      <c r="F7" s="22"/>
      <c r="G7" s="155"/>
      <c r="H7" s="21"/>
      <c r="I7" s="33"/>
      <c r="J7" s="5">
        <f>L7*J5</f>
        <v>0.09</v>
      </c>
      <c r="K7" s="33" t="s">
        <v>138</v>
      </c>
      <c r="L7" s="163">
        <v>0.02</v>
      </c>
      <c r="M7" s="33"/>
      <c r="N7" s="21"/>
      <c r="O7" s="33"/>
      <c r="P7" s="34"/>
      <c r="Q7" s="33"/>
      <c r="R7" s="21"/>
      <c r="S7" s="21"/>
      <c r="T7" s="21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</row>
    <row r="8" spans="1:37" ht="18.75" x14ac:dyDescent="0.35">
      <c r="A8" s="21"/>
      <c r="B8" s="21"/>
      <c r="C8" s="22" t="s">
        <v>33</v>
      </c>
      <c r="D8" s="157">
        <f>SUM(D3:D7)</f>
        <v>0.11622986734811308</v>
      </c>
      <c r="E8" s="33" t="s">
        <v>71</v>
      </c>
      <c r="F8" s="22"/>
      <c r="G8" s="30" t="s">
        <v>43</v>
      </c>
      <c r="H8" s="158">
        <f>SUM(H3:H6)</f>
        <v>250.10651215319081</v>
      </c>
      <c r="I8" s="33" t="s">
        <v>27</v>
      </c>
      <c r="J8" s="2">
        <f>D8/m3perft3</f>
        <v>4.1045818900004871</v>
      </c>
      <c r="K8" s="33" t="s">
        <v>138</v>
      </c>
      <c r="L8" s="95">
        <f>H8/D8</f>
        <v>2151.8265301302622</v>
      </c>
      <c r="M8" s="33" t="s">
        <v>72</v>
      </c>
      <c r="N8" s="21"/>
      <c r="O8" s="176" t="s">
        <v>3</v>
      </c>
      <c r="P8" s="160">
        <f>P3*N3+P4*N4+P5*N5</f>
        <v>179.14322985782692</v>
      </c>
      <c r="Q8" s="33" t="s">
        <v>64</v>
      </c>
      <c r="R8" s="21"/>
      <c r="S8" s="21"/>
      <c r="T8" s="21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</row>
    <row r="9" spans="1:37" x14ac:dyDescent="0.25">
      <c r="A9" s="21"/>
      <c r="B9" s="21"/>
      <c r="C9" s="21"/>
      <c r="D9" s="156"/>
      <c r="E9" s="21"/>
      <c r="F9" s="21"/>
      <c r="G9" s="21"/>
      <c r="H9" s="21"/>
      <c r="I9" s="21"/>
      <c r="J9" s="33"/>
      <c r="K9" s="33"/>
      <c r="L9" s="22"/>
      <c r="M9" s="33"/>
      <c r="N9" s="21"/>
      <c r="O9" s="33"/>
      <c r="P9" s="33"/>
      <c r="Q9" s="33"/>
      <c r="R9" s="21"/>
      <c r="S9" s="21"/>
      <c r="T9" s="21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</row>
    <row r="10" spans="1:37" x14ac:dyDescent="0.25">
      <c r="A10" s="21"/>
      <c r="B10" s="21"/>
      <c r="C10" s="30"/>
      <c r="D10" s="21"/>
      <c r="E10" s="21"/>
      <c r="F10" s="21"/>
      <c r="G10" s="21"/>
      <c r="H10" s="21"/>
      <c r="I10" s="33"/>
      <c r="J10" s="22"/>
      <c r="K10" s="33"/>
      <c r="L10" s="22"/>
      <c r="M10" s="33"/>
      <c r="N10" s="21"/>
      <c r="O10" s="33"/>
      <c r="P10" s="22"/>
      <c r="Q10" s="33"/>
      <c r="R10" s="21"/>
      <c r="S10" s="21"/>
      <c r="T10" s="21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</row>
    <row r="11" spans="1:37" ht="17.25" x14ac:dyDescent="0.25">
      <c r="A11" s="21"/>
      <c r="B11" s="21"/>
      <c r="C11" s="37"/>
      <c r="D11" s="182" t="s">
        <v>166</v>
      </c>
      <c r="E11" s="174"/>
      <c r="F11" s="178">
        <v>2.8317102804373401E-2</v>
      </c>
      <c r="G11" s="174" t="s">
        <v>170</v>
      </c>
      <c r="H11" s="37"/>
      <c r="I11" s="37"/>
      <c r="J11" s="37"/>
      <c r="K11" s="37"/>
      <c r="L11" s="37"/>
      <c r="M11" s="37"/>
      <c r="N11" s="37"/>
      <c r="O11" s="37"/>
      <c r="P11" s="37" t="s">
        <v>41</v>
      </c>
      <c r="Q11" s="37"/>
      <c r="R11" s="37"/>
      <c r="S11" s="37"/>
      <c r="T11" s="21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</row>
    <row r="12" spans="1:37" ht="30" x14ac:dyDescent="0.25">
      <c r="A12" s="21"/>
      <c r="B12" s="21"/>
      <c r="C12" s="247" t="str">
        <f>EPD!D7</f>
        <v>ASTM  C595 Portland Cement Type IL (CalPortland Advancement LT)</v>
      </c>
      <c r="D12" s="259">
        <f>H12/F12/1000</f>
        <v>1.3827596351868197E-2</v>
      </c>
      <c r="E12" s="223" t="s">
        <v>71</v>
      </c>
      <c r="F12" s="24">
        <v>3.09</v>
      </c>
      <c r="G12" s="267"/>
      <c r="H12" s="261">
        <f>R12*J12</f>
        <v>42.727272727272727</v>
      </c>
      <c r="I12" s="223" t="s">
        <v>27</v>
      </c>
      <c r="J12" s="262">
        <v>1</v>
      </c>
      <c r="K12" s="223" t="s">
        <v>138</v>
      </c>
      <c r="L12" s="263">
        <f>R12/F11</f>
        <v>1508.8857438012255</v>
      </c>
      <c r="M12" s="223" t="s">
        <v>72</v>
      </c>
      <c r="N12" s="264">
        <f>H12/$H$17</f>
        <v>0.20780673979852954</v>
      </c>
      <c r="O12" s="213"/>
      <c r="P12" s="248">
        <f>EPD!E7</f>
        <v>774</v>
      </c>
      <c r="Q12" s="223" t="s">
        <v>64</v>
      </c>
      <c r="R12" s="265">
        <f>94/2.2</f>
        <v>42.727272727272727</v>
      </c>
      <c r="S12" s="223" t="s">
        <v>168</v>
      </c>
      <c r="T12" s="21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</row>
    <row r="13" spans="1:37" ht="18.75" x14ac:dyDescent="0.35">
      <c r="A13" s="21"/>
      <c r="B13" s="21"/>
      <c r="C13" s="34" t="str">
        <f>C4</f>
        <v>Hydrated Lime</v>
      </c>
      <c r="D13" s="92">
        <f>H13/F13/1000</f>
        <v>2.1276595744680851E-3</v>
      </c>
      <c r="E13" s="172" t="s">
        <v>71</v>
      </c>
      <c r="F13" s="5">
        <v>2.35</v>
      </c>
      <c r="G13" s="178"/>
      <c r="H13" s="14">
        <f>R13*J13</f>
        <v>5</v>
      </c>
      <c r="I13" s="172" t="s">
        <v>27</v>
      </c>
      <c r="J13" s="2">
        <v>0.25</v>
      </c>
      <c r="K13" s="172" t="s">
        <v>138</v>
      </c>
      <c r="L13" s="95">
        <f>R13/m3perft3</f>
        <v>706.28694390695659</v>
      </c>
      <c r="M13" s="172" t="s">
        <v>72</v>
      </c>
      <c r="N13" s="189">
        <f t="shared" ref="N13:N14" si="0">H13/$H$17</f>
        <v>2.431780997642367E-2</v>
      </c>
      <c r="O13" s="37"/>
      <c r="P13" s="34">
        <f>LimeCO2</f>
        <v>1100</v>
      </c>
      <c r="Q13" s="172" t="s">
        <v>64</v>
      </c>
      <c r="R13" s="6">
        <v>20</v>
      </c>
      <c r="S13" s="172" t="s">
        <v>169</v>
      </c>
      <c r="T13" s="21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</row>
    <row r="14" spans="1:37" ht="18.75" x14ac:dyDescent="0.35">
      <c r="A14" s="21"/>
      <c r="B14" s="21"/>
      <c r="C14" s="34" t="str">
        <f>C5</f>
        <v>Masonry Sand</v>
      </c>
      <c r="D14" s="92">
        <f>J14*L14*m3perft3/F14/1000</f>
        <v>4.787193228814824E-2</v>
      </c>
      <c r="E14" s="172" t="s">
        <v>71</v>
      </c>
      <c r="F14" s="5">
        <v>2.65</v>
      </c>
      <c r="G14" s="178"/>
      <c r="H14" s="93">
        <f>J14*L14*m3perft3</f>
        <v>126.86062056359283</v>
      </c>
      <c r="I14" s="172" t="s">
        <v>27</v>
      </c>
      <c r="J14" s="2">
        <v>3.5</v>
      </c>
      <c r="K14" s="172" t="s">
        <v>138</v>
      </c>
      <c r="L14" s="5">
        <v>1280</v>
      </c>
      <c r="M14" s="172" t="s">
        <v>72</v>
      </c>
      <c r="N14" s="189">
        <f t="shared" si="0"/>
        <v>0.61699449287132713</v>
      </c>
      <c r="O14" s="37"/>
      <c r="P14" s="8">
        <f>MSandCO2</f>
        <v>4.5</v>
      </c>
      <c r="Q14" s="172" t="s">
        <v>64</v>
      </c>
      <c r="R14" s="37"/>
      <c r="S14" s="37"/>
      <c r="T14" s="21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</row>
    <row r="15" spans="1:37" ht="17.25" x14ac:dyDescent="0.25">
      <c r="A15" s="21"/>
      <c r="B15" s="21"/>
      <c r="C15" s="34" t="s">
        <v>0</v>
      </c>
      <c r="D15" s="92">
        <f>H15/F15/1000</f>
        <v>3.1022727272727275E-2</v>
      </c>
      <c r="E15" s="172" t="s">
        <v>171</v>
      </c>
      <c r="F15" s="5">
        <v>1</v>
      </c>
      <c r="G15" s="178"/>
      <c r="H15" s="159">
        <f>(H12+H13)*N15</f>
        <v>31.022727272727273</v>
      </c>
      <c r="I15" s="172" t="s">
        <v>27</v>
      </c>
      <c r="J15" s="34"/>
      <c r="K15" s="172"/>
      <c r="L15" s="34"/>
      <c r="M15" s="172"/>
      <c r="N15">
        <v>0.65</v>
      </c>
      <c r="O15" s="172" t="s">
        <v>40</v>
      </c>
      <c r="P15" s="180"/>
      <c r="Q15" s="172"/>
      <c r="R15" s="37"/>
      <c r="S15" s="37"/>
      <c r="T15" s="21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</row>
    <row r="16" spans="1:37" ht="17.25" x14ac:dyDescent="0.25">
      <c r="A16" s="21"/>
      <c r="B16" s="21"/>
      <c r="C16" s="34" t="s">
        <v>39</v>
      </c>
      <c r="D16" s="156">
        <f>L16*SUM(D12:D15)/(1-L16)</f>
        <v>1.9357125609635061E-3</v>
      </c>
      <c r="E16" s="179">
        <f>D16/D17</f>
        <v>2.0000000000000004E-2</v>
      </c>
      <c r="F16" s="34"/>
      <c r="G16" s="178"/>
      <c r="H16" s="178"/>
      <c r="I16" s="172"/>
      <c r="J16" s="22">
        <f>L16*J14</f>
        <v>7.0000000000000007E-2</v>
      </c>
      <c r="K16" s="172" t="s">
        <v>138</v>
      </c>
      <c r="L16" s="163">
        <v>0.02</v>
      </c>
      <c r="M16" s="172"/>
      <c r="N16" s="37"/>
      <c r="O16" s="172"/>
      <c r="P16" s="180"/>
      <c r="Q16" s="172"/>
      <c r="R16" s="37"/>
      <c r="S16" s="37"/>
      <c r="T16" s="21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</row>
    <row r="17" spans="1:37" ht="18.75" x14ac:dyDescent="0.35">
      <c r="A17" s="21"/>
      <c r="B17" s="21"/>
      <c r="C17" s="34" t="s">
        <v>33</v>
      </c>
      <c r="D17" s="157">
        <f>SUM(D12:D16)</f>
        <v>9.6785628048175296E-2</v>
      </c>
      <c r="E17" s="172" t="s">
        <v>71</v>
      </c>
      <c r="F17" s="34"/>
      <c r="G17" s="171" t="s">
        <v>43</v>
      </c>
      <c r="H17" s="158">
        <f>SUM(H12:H15)</f>
        <v>205.61062056359285</v>
      </c>
      <c r="I17" s="172" t="s">
        <v>27</v>
      </c>
      <c r="J17" s="2">
        <f>D17/m3perft3</f>
        <v>3.4179212724130577</v>
      </c>
      <c r="K17" s="172" t="s">
        <v>138</v>
      </c>
      <c r="L17" s="95">
        <f>H17/D17</f>
        <v>2124.3920684303421</v>
      </c>
      <c r="M17" s="172" t="s">
        <v>72</v>
      </c>
      <c r="N17" s="37"/>
      <c r="O17" s="177" t="s">
        <v>3</v>
      </c>
      <c r="P17" s="164">
        <f>P12*N12+P13*N13+P14*N14</f>
        <v>190.36848279604885</v>
      </c>
      <c r="Q17" s="172" t="s">
        <v>64</v>
      </c>
      <c r="R17" s="37"/>
      <c r="S17" s="37"/>
      <c r="T17" s="21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</row>
    <row r="18" spans="1:37" x14ac:dyDescent="0.25">
      <c r="A18" s="21"/>
      <c r="B18" s="21"/>
      <c r="C18" s="37"/>
      <c r="D18" s="175"/>
      <c r="E18" s="37"/>
      <c r="F18" s="37"/>
      <c r="G18" s="37"/>
      <c r="H18" s="37"/>
      <c r="I18" s="37"/>
      <c r="J18" s="172"/>
      <c r="K18" s="172"/>
      <c r="L18" s="37"/>
      <c r="M18" s="37"/>
      <c r="N18" s="37"/>
      <c r="O18" s="172"/>
      <c r="P18" s="172"/>
      <c r="Q18" s="172"/>
      <c r="R18" s="37"/>
      <c r="S18" s="37"/>
      <c r="T18" s="21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</row>
    <row r="19" spans="1:37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</row>
    <row r="20" spans="1:37" x14ac:dyDescent="0.25">
      <c r="A20" s="21"/>
      <c r="B20" s="21"/>
      <c r="C20" s="21"/>
      <c r="D20">
        <v>10</v>
      </c>
      <c r="E20" s="33" t="s">
        <v>2</v>
      </c>
      <c r="F20" s="33" t="s">
        <v>45</v>
      </c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</row>
    <row r="21" spans="1:37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</row>
    <row r="22" spans="1:37" x14ac:dyDescent="0.25">
      <c r="A22" s="185"/>
      <c r="B22" s="185"/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</row>
    <row r="23" spans="1:37" x14ac:dyDescent="0.25">
      <c r="A23" s="185"/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</row>
    <row r="24" spans="1:37" x14ac:dyDescent="0.25">
      <c r="A24" s="185"/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</row>
    <row r="25" spans="1:37" x14ac:dyDescent="0.25">
      <c r="A25" s="185"/>
      <c r="B25" s="185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</row>
    <row r="26" spans="1:37" x14ac:dyDescent="0.25">
      <c r="A26" s="185"/>
      <c r="B26" s="185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</row>
    <row r="27" spans="1:37" x14ac:dyDescent="0.25">
      <c r="A27" s="185"/>
      <c r="B27" s="185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</row>
    <row r="28" spans="1:37" x14ac:dyDescent="0.25">
      <c r="A28" s="185"/>
      <c r="B28" s="185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</row>
    <row r="29" spans="1:37" x14ac:dyDescent="0.25">
      <c r="A29" s="185"/>
      <c r="B29" s="185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</row>
    <row r="30" spans="1:37" x14ac:dyDescent="0.25">
      <c r="A30" s="185"/>
      <c r="B30" s="185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</row>
    <row r="31" spans="1:37" x14ac:dyDescent="0.25">
      <c r="A31" s="185"/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</row>
    <row r="32" spans="1:37" x14ac:dyDescent="0.25">
      <c r="A32" s="185"/>
      <c r="B32" s="185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</row>
    <row r="33" spans="1:37" x14ac:dyDescent="0.25">
      <c r="A33" s="185"/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</row>
    <row r="34" spans="1:37" x14ac:dyDescent="0.25">
      <c r="A34" s="185"/>
      <c r="B34" s="185"/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</row>
    <row r="35" spans="1:37" x14ac:dyDescent="0.25">
      <c r="A35" s="185"/>
      <c r="B35" s="185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</row>
    <row r="36" spans="1:37" x14ac:dyDescent="0.25">
      <c r="A36" s="185"/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</row>
    <row r="37" spans="1:37" x14ac:dyDescent="0.25">
      <c r="A37" s="185"/>
      <c r="B37" s="185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</row>
    <row r="38" spans="1:37" x14ac:dyDescent="0.25">
      <c r="A38" s="185"/>
      <c r="B38" s="185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</row>
    <row r="39" spans="1:37" x14ac:dyDescent="0.25">
      <c r="A39" s="185"/>
      <c r="B39" s="185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</row>
    <row r="40" spans="1:37" x14ac:dyDescent="0.25">
      <c r="A40" s="185"/>
      <c r="B40" s="185"/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</row>
    <row r="41" spans="1:37" x14ac:dyDescent="0.25">
      <c r="A41" s="185"/>
      <c r="B41" s="185"/>
      <c r="C41" s="185"/>
      <c r="D41" s="185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</row>
    <row r="42" spans="1:37" x14ac:dyDescent="0.25">
      <c r="A42" s="185"/>
      <c r="B42" s="185"/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</row>
    <row r="43" spans="1:37" x14ac:dyDescent="0.25">
      <c r="A43" s="185"/>
      <c r="B43" s="185"/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</row>
    <row r="44" spans="1:37" x14ac:dyDescent="0.25">
      <c r="A44" s="185"/>
      <c r="B44" s="185"/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</row>
    <row r="45" spans="1:37" x14ac:dyDescent="0.25">
      <c r="A45" s="185"/>
      <c r="B45" s="185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</row>
    <row r="46" spans="1:37" x14ac:dyDescent="0.25">
      <c r="A46" s="185"/>
      <c r="B46" s="185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</row>
    <row r="47" spans="1:37" x14ac:dyDescent="0.25">
      <c r="A47" s="185"/>
      <c r="B47" s="185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</row>
    <row r="48" spans="1:37" x14ac:dyDescent="0.25">
      <c r="A48" s="185"/>
      <c r="B48" s="185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</row>
    <row r="49" spans="1:37" x14ac:dyDescent="0.25">
      <c r="A49" s="185"/>
      <c r="B49" s="185"/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</row>
    <row r="50" spans="1:37" x14ac:dyDescent="0.25">
      <c r="A50" s="185"/>
      <c r="B50" s="185"/>
      <c r="C50" s="185"/>
      <c r="D50" s="185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</row>
    <row r="51" spans="1:37" x14ac:dyDescent="0.25">
      <c r="A51" s="185"/>
      <c r="B51" s="185"/>
      <c r="C51" s="185"/>
      <c r="D51" s="185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</row>
    <row r="52" spans="1:37" x14ac:dyDescent="0.25">
      <c r="A52" s="185"/>
      <c r="B52" s="185"/>
      <c r="C52" s="185"/>
      <c r="D52" s="185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</row>
    <row r="53" spans="1:37" x14ac:dyDescent="0.25">
      <c r="A53" s="185"/>
      <c r="B53" s="185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</row>
    <row r="54" spans="1:37" x14ac:dyDescent="0.25">
      <c r="A54" s="185"/>
      <c r="B54" s="185"/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</row>
    <row r="55" spans="1:37" x14ac:dyDescent="0.25">
      <c r="A55" s="185"/>
      <c r="B55" s="185"/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</row>
    <row r="56" spans="1:37" x14ac:dyDescent="0.25">
      <c r="A56" s="185"/>
      <c r="B56" s="185"/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85"/>
      <c r="AK56" s="185"/>
    </row>
    <row r="57" spans="1:37" x14ac:dyDescent="0.25">
      <c r="A57" s="185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  <c r="AK57" s="185"/>
    </row>
  </sheetData>
  <sheetProtection algorithmName="SHA-512" hashValue="azPCQ4MzqJLGjDIw4MDP1IRHABVxsSrZsMwK7/MgkxaTR03agOFIuu2Ne08+aWlm2M+bF5/5P+xRgQcc7xrAPA==" saltValue="6CkgSXYCFSfmTGnKgJT3Ow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theme="1" tint="0.249977111117893"/>
  </sheetPr>
  <dimension ref="A1:AR83"/>
  <sheetViews>
    <sheetView showGridLines="0" workbookViewId="0">
      <selection activeCell="P1" sqref="P1"/>
    </sheetView>
  </sheetViews>
  <sheetFormatPr defaultRowHeight="15" x14ac:dyDescent="0.25"/>
  <cols>
    <col min="1" max="1" width="6.42578125" customWidth="1"/>
    <col min="2" max="2" width="7.7109375" customWidth="1"/>
    <col min="3" max="3" width="29.42578125" customWidth="1"/>
    <col min="4" max="4" width="9.5703125" bestFit="1" customWidth="1"/>
    <col min="5" max="5" width="7.5703125" customWidth="1"/>
    <col min="6" max="6" width="6.140625" customWidth="1"/>
    <col min="7" max="7" width="6" customWidth="1"/>
    <col min="8" max="8" width="4" customWidth="1"/>
    <col min="9" max="9" width="4.85546875" customWidth="1"/>
    <col min="10" max="10" width="6.140625" customWidth="1"/>
    <col min="11" max="12" width="7.28515625" customWidth="1"/>
    <col min="13" max="13" width="7.7109375" customWidth="1"/>
    <col min="14" max="14" width="6.7109375" customWidth="1"/>
    <col min="15" max="15" width="13.7109375" customWidth="1"/>
    <col min="16" max="16" width="6.7109375" customWidth="1"/>
    <col min="17" max="17" width="2.5703125" customWidth="1"/>
    <col min="18" max="18" width="15.140625" customWidth="1"/>
    <col min="19" max="20" width="7" customWidth="1"/>
    <col min="21" max="21" width="7.7109375" customWidth="1"/>
    <col min="22" max="22" width="4.42578125" customWidth="1"/>
    <col min="23" max="23" width="7" customWidth="1"/>
    <col min="24" max="24" width="6.85546875" customWidth="1"/>
    <col min="25" max="25" width="6.5703125" customWidth="1"/>
    <col min="26" max="26" width="7" customWidth="1"/>
    <col min="27" max="27" width="6.85546875" customWidth="1"/>
    <col min="28" max="28" width="6.5703125" customWidth="1"/>
    <col min="29" max="29" width="6.140625" customWidth="1"/>
  </cols>
  <sheetData>
    <row r="1" spans="1:44" ht="21.75" customHeight="1" x14ac:dyDescent="0.3">
      <c r="A1" s="21"/>
      <c r="B1" s="39" t="str">
        <f>Choices!$C$1</f>
        <v>Angelus Block Carbon Calculator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42" t="str">
        <f>ver</f>
        <v>ver 1.9</v>
      </c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93"/>
      <c r="AB1" s="193"/>
      <c r="AC1" s="185"/>
      <c r="AD1" s="185"/>
      <c r="AE1" s="185"/>
      <c r="AF1" s="185"/>
      <c r="AG1" s="185"/>
      <c r="AH1" s="185"/>
      <c r="AI1" s="185"/>
      <c r="AJ1" s="185"/>
      <c r="AK1" s="185"/>
      <c r="AL1" s="185"/>
      <c r="AM1" s="185"/>
      <c r="AN1" s="185"/>
      <c r="AO1" s="185"/>
      <c r="AP1" s="185"/>
      <c r="AQ1" s="185"/>
      <c r="AR1" s="185"/>
    </row>
    <row r="2" spans="1:44" ht="26.25" x14ac:dyDescent="0.4">
      <c r="A2" s="21"/>
      <c r="B2" s="166" t="s">
        <v>18</v>
      </c>
      <c r="C2" s="21"/>
      <c r="D2" s="21"/>
      <c r="E2" s="21"/>
      <c r="F2" s="21">
        <v>35.314347195347786</v>
      </c>
      <c r="G2" s="21" t="s">
        <v>135</v>
      </c>
      <c r="H2" s="21"/>
      <c r="I2" s="21"/>
      <c r="J2" s="21"/>
      <c r="K2" s="21"/>
      <c r="L2" s="21"/>
      <c r="M2" s="21"/>
      <c r="N2" s="21" t="s">
        <v>41</v>
      </c>
      <c r="O2" s="21"/>
      <c r="P2" s="21"/>
      <c r="Q2" s="185"/>
      <c r="R2" s="185"/>
      <c r="S2" s="185"/>
      <c r="T2" s="185"/>
      <c r="U2" s="185"/>
      <c r="V2" s="185"/>
      <c r="W2" s="185"/>
      <c r="X2" s="194"/>
      <c r="Y2" s="185"/>
      <c r="Z2" s="185"/>
      <c r="AA2" s="19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Q2" s="185"/>
      <c r="AR2" s="185"/>
    </row>
    <row r="3" spans="1:44" x14ac:dyDescent="0.25">
      <c r="A3" s="21"/>
      <c r="B3" s="21"/>
      <c r="C3" s="38" t="s">
        <v>220</v>
      </c>
      <c r="D3" s="21"/>
      <c r="E3" s="21"/>
      <c r="F3" s="21"/>
      <c r="G3" s="21"/>
      <c r="H3" s="21"/>
      <c r="I3" s="21"/>
      <c r="J3" s="21"/>
      <c r="K3" s="21"/>
      <c r="L3" s="22" t="s">
        <v>47</v>
      </c>
      <c r="M3" s="21"/>
      <c r="N3" s="21"/>
      <c r="O3" s="21"/>
      <c r="P3" s="21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9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185"/>
      <c r="AM3" s="185"/>
      <c r="AN3" s="185"/>
      <c r="AO3" s="185"/>
      <c r="AP3" s="185"/>
      <c r="AQ3" s="185"/>
      <c r="AR3" s="185"/>
    </row>
    <row r="4" spans="1:44" ht="18" x14ac:dyDescent="0.25">
      <c r="A4" s="21"/>
      <c r="B4" s="242">
        <v>3.15</v>
      </c>
      <c r="C4" s="272" t="str">
        <f>Choices!$H$41</f>
        <v>ASTM C150 Portland Cement Type I or II</v>
      </c>
      <c r="D4" s="206">
        <f>F4/B4/1000</f>
        <v>1.3565240676761752E-2</v>
      </c>
      <c r="E4" s="273" t="s">
        <v>176</v>
      </c>
      <c r="F4" s="207">
        <f>J4/M3ToFt3</f>
        <v>42.730508131799517</v>
      </c>
      <c r="G4" s="273" t="s">
        <v>27</v>
      </c>
      <c r="H4" s="208">
        <v>1</v>
      </c>
      <c r="I4" s="273" t="s">
        <v>178</v>
      </c>
      <c r="J4" s="209">
        <v>1509</v>
      </c>
      <c r="K4" s="273" t="s">
        <v>179</v>
      </c>
      <c r="L4" s="210">
        <f>F4/$F$8</f>
        <v>0.25350267110170349</v>
      </c>
      <c r="M4" s="25"/>
      <c r="N4" s="188">
        <f>OPCCO2Grout</f>
        <v>919</v>
      </c>
      <c r="O4" s="68" t="s">
        <v>64</v>
      </c>
      <c r="P4" s="21"/>
      <c r="Q4" s="185"/>
      <c r="R4" s="185"/>
      <c r="S4" s="196"/>
      <c r="T4" s="196"/>
      <c r="U4" s="196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  <c r="AN4" s="185"/>
      <c r="AO4" s="185"/>
      <c r="AP4" s="185"/>
      <c r="AQ4" s="185"/>
      <c r="AR4" s="185"/>
    </row>
    <row r="5" spans="1:44" ht="18" x14ac:dyDescent="0.25">
      <c r="A5" s="21"/>
      <c r="B5" s="242">
        <v>2.65</v>
      </c>
      <c r="C5" s="22" t="s">
        <v>48</v>
      </c>
      <c r="D5" s="206">
        <f>F5/B5/1000</f>
        <v>4.1033084818412828E-2</v>
      </c>
      <c r="E5" s="273" t="s">
        <v>176</v>
      </c>
      <c r="F5" s="207">
        <f>J5*H5/M3ToFt3</f>
        <v>108.73767476879399</v>
      </c>
      <c r="G5" s="273" t="s">
        <v>27</v>
      </c>
      <c r="H5" s="208">
        <v>3</v>
      </c>
      <c r="I5" s="273" t="s">
        <v>178</v>
      </c>
      <c r="J5" s="212">
        <v>1280</v>
      </c>
      <c r="K5" s="273" t="s">
        <v>179</v>
      </c>
      <c r="L5" s="210">
        <f>F5/$F$8</f>
        <v>0.64509626045761514</v>
      </c>
      <c r="M5" s="25"/>
      <c r="N5" s="211">
        <f>ConcreteSandCO2</f>
        <v>3.63</v>
      </c>
      <c r="O5" s="68" t="s">
        <v>64</v>
      </c>
      <c r="P5" s="21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P5" s="185"/>
      <c r="AQ5" s="185"/>
      <c r="AR5" s="185"/>
    </row>
    <row r="6" spans="1:44" ht="17.25" x14ac:dyDescent="0.25">
      <c r="A6" s="21"/>
      <c r="B6" s="242">
        <v>1</v>
      </c>
      <c r="C6" s="22" t="s">
        <v>0</v>
      </c>
      <c r="D6" s="206">
        <f>F6/1000</f>
        <v>1.7092203252719811E-2</v>
      </c>
      <c r="E6" s="273" t="s">
        <v>176</v>
      </c>
      <c r="F6" s="207">
        <f>F4*L6</f>
        <v>17.092203252719809</v>
      </c>
      <c r="G6" s="273" t="s">
        <v>27</v>
      </c>
      <c r="H6" s="214"/>
      <c r="I6" s="273"/>
      <c r="J6" s="212">
        <v>1000</v>
      </c>
      <c r="K6" s="273" t="s">
        <v>179</v>
      </c>
      <c r="L6" s="215">
        <v>0.4</v>
      </c>
      <c r="M6" s="273" t="s">
        <v>40</v>
      </c>
      <c r="N6" s="213"/>
      <c r="O6" s="68"/>
      <c r="P6" s="21"/>
      <c r="Q6" s="185"/>
      <c r="R6" s="185"/>
      <c r="S6" s="197"/>
      <c r="T6" s="197"/>
      <c r="U6" s="197"/>
      <c r="V6" s="185"/>
      <c r="W6" s="198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</row>
    <row r="7" spans="1:44" ht="17.25" x14ac:dyDescent="0.25">
      <c r="A7" s="21"/>
      <c r="B7" s="242"/>
      <c r="C7" s="22" t="s">
        <v>39</v>
      </c>
      <c r="D7" s="216">
        <f>L7*SUM(D3:D6)/(1-L7)</f>
        <v>2.9871053644955994E-3</v>
      </c>
      <c r="E7" s="273" t="s">
        <v>176</v>
      </c>
      <c r="F7" s="273"/>
      <c r="G7" s="273"/>
      <c r="H7" s="214"/>
      <c r="I7" s="273"/>
      <c r="J7" s="217"/>
      <c r="K7" s="273"/>
      <c r="L7" s="218">
        <v>0.04</v>
      </c>
      <c r="M7" s="25"/>
      <c r="N7" s="213"/>
      <c r="O7" s="68"/>
      <c r="P7" s="21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</row>
    <row r="8" spans="1:44" ht="18" x14ac:dyDescent="0.25">
      <c r="A8" s="21"/>
      <c r="B8" s="242"/>
      <c r="C8" s="22" t="s">
        <v>33</v>
      </c>
      <c r="D8" s="274">
        <f>SUM(D4:D7)</f>
        <v>7.4677634112389993E-2</v>
      </c>
      <c r="E8" s="273" t="s">
        <v>176</v>
      </c>
      <c r="F8" s="275">
        <f>SUM(F4:F6)</f>
        <v>168.56038615331332</v>
      </c>
      <c r="G8" s="273" t="s">
        <v>27</v>
      </c>
      <c r="H8" s="276"/>
      <c r="I8" s="273"/>
      <c r="J8" s="277">
        <f>F8/D8</f>
        <v>2257.17362576899</v>
      </c>
      <c r="K8" s="273" t="s">
        <v>179</v>
      </c>
      <c r="L8" s="278"/>
      <c r="M8" s="279" t="s">
        <v>18</v>
      </c>
      <c r="N8" s="294">
        <f>N4*PercentPortlandCement+N5*PercentMasonrySand</f>
        <v>235.31065416792666</v>
      </c>
      <c r="O8" s="68" t="s">
        <v>64</v>
      </c>
      <c r="P8" s="21"/>
      <c r="Q8" s="185"/>
      <c r="R8" s="185"/>
      <c r="S8" s="185"/>
      <c r="T8" s="185"/>
      <c r="U8" s="185"/>
      <c r="V8" s="185"/>
      <c r="W8" s="19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  <c r="AP8" s="185"/>
      <c r="AQ8" s="185"/>
      <c r="AR8" s="185"/>
    </row>
    <row r="9" spans="1:44" x14ac:dyDescent="0.25">
      <c r="A9" s="21"/>
      <c r="B9" s="280"/>
      <c r="C9" s="281" t="s">
        <v>223</v>
      </c>
      <c r="D9" s="284"/>
      <c r="E9" s="285"/>
      <c r="F9" s="286"/>
      <c r="G9" s="285"/>
      <c r="H9" s="287"/>
      <c r="I9" s="285"/>
      <c r="J9" s="284"/>
      <c r="K9" s="285"/>
      <c r="L9" s="284"/>
      <c r="M9" s="288"/>
      <c r="N9" s="288"/>
      <c r="O9" s="289"/>
      <c r="P9" s="21"/>
      <c r="Q9" s="185"/>
      <c r="R9" s="185"/>
      <c r="S9" s="185"/>
      <c r="T9" s="185"/>
      <c r="U9" s="185"/>
      <c r="V9" s="185"/>
      <c r="W9" s="19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5"/>
    </row>
    <row r="10" spans="1:44" ht="18" x14ac:dyDescent="0.25">
      <c r="A10" s="21"/>
      <c r="B10" s="280">
        <v>3.15</v>
      </c>
      <c r="C10" s="282" t="str">
        <f>Choices!$H$41</f>
        <v>ASTM C150 Portland Cement Type I or II</v>
      </c>
      <c r="D10" s="224">
        <f>F10/B10/1000</f>
        <v>1.0173930507571313E-2</v>
      </c>
      <c r="E10" s="285" t="s">
        <v>177</v>
      </c>
      <c r="F10" s="225">
        <f>F$4-F11</f>
        <v>32.047881098849636</v>
      </c>
      <c r="G10" s="285" t="s">
        <v>27</v>
      </c>
      <c r="H10" s="208">
        <v>1</v>
      </c>
      <c r="I10" s="285" t="s">
        <v>178</v>
      </c>
      <c r="J10" s="209">
        <v>1509</v>
      </c>
      <c r="K10" s="285" t="s">
        <v>179</v>
      </c>
      <c r="L10" s="210">
        <f>F10/$F$8</f>
        <v>0.1901270033262776</v>
      </c>
      <c r="M10" s="226">
        <f>1-M11</f>
        <v>0.75</v>
      </c>
      <c r="N10" s="188">
        <f>OPCCO2Grout</f>
        <v>919</v>
      </c>
      <c r="O10" s="289" t="s">
        <v>64</v>
      </c>
      <c r="P10" s="21"/>
      <c r="Q10" s="185"/>
      <c r="R10" s="185"/>
      <c r="S10" s="185"/>
      <c r="T10" s="185"/>
      <c r="U10" s="185"/>
      <c r="V10" s="185"/>
      <c r="W10" s="19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5"/>
      <c r="AO10" s="185"/>
      <c r="AP10" s="185"/>
      <c r="AQ10" s="185"/>
      <c r="AR10" s="185"/>
    </row>
    <row r="11" spans="1:44" ht="18" x14ac:dyDescent="0.25">
      <c r="A11" s="21"/>
      <c r="B11" s="280">
        <v>2.2000000000000002</v>
      </c>
      <c r="C11" s="283" t="s">
        <v>115</v>
      </c>
      <c r="D11" s="224">
        <f>F11/B11/1000</f>
        <v>4.855739560431763E-3</v>
      </c>
      <c r="E11" s="285" t="s">
        <v>177</v>
      </c>
      <c r="F11" s="225">
        <f>F$4*M11</f>
        <v>10.682627032949879</v>
      </c>
      <c r="G11" s="285" t="s">
        <v>27</v>
      </c>
      <c r="H11" s="288"/>
      <c r="I11" s="285"/>
      <c r="J11" s="288"/>
      <c r="K11" s="285"/>
      <c r="L11" s="210">
        <f>F11/$F$8</f>
        <v>6.3375667775425873E-2</v>
      </c>
      <c r="M11" s="227">
        <v>0.25</v>
      </c>
      <c r="N11" s="188">
        <f>FlyAshCO2</f>
        <v>3.92</v>
      </c>
      <c r="O11" s="289" t="s">
        <v>64</v>
      </c>
      <c r="P11" s="21"/>
      <c r="Q11" s="185"/>
      <c r="R11" s="185"/>
      <c r="S11" s="185"/>
      <c r="T11" s="185"/>
      <c r="U11" s="185"/>
      <c r="V11" s="185"/>
      <c r="W11" s="19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</row>
    <row r="12" spans="1:44" ht="18" x14ac:dyDescent="0.25">
      <c r="A12" s="21"/>
      <c r="B12" s="280">
        <v>2.65</v>
      </c>
      <c r="C12" s="283" t="s">
        <v>48</v>
      </c>
      <c r="D12" s="224">
        <f>F12/B12/1000</f>
        <v>4.1033084818412828E-2</v>
      </c>
      <c r="E12" s="285" t="s">
        <v>177</v>
      </c>
      <c r="F12" s="225">
        <f>F$5</f>
        <v>108.73767476879399</v>
      </c>
      <c r="G12" s="285" t="s">
        <v>27</v>
      </c>
      <c r="H12" s="208">
        <v>3</v>
      </c>
      <c r="I12" s="285" t="s">
        <v>178</v>
      </c>
      <c r="J12" s="212">
        <v>1280</v>
      </c>
      <c r="K12" s="285" t="s">
        <v>179</v>
      </c>
      <c r="L12" s="210">
        <f>F12/$F$8</f>
        <v>0.64509626045761514</v>
      </c>
      <c r="M12" s="288"/>
      <c r="N12" s="211">
        <f>ConcreteSandCO2</f>
        <v>3.63</v>
      </c>
      <c r="O12" s="289" t="s">
        <v>64</v>
      </c>
      <c r="P12" s="21"/>
      <c r="Q12" s="185"/>
      <c r="R12" s="185"/>
      <c r="S12" s="185"/>
      <c r="T12" s="185"/>
      <c r="U12" s="185"/>
      <c r="V12" s="185"/>
      <c r="W12" s="19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</row>
    <row r="13" spans="1:44" ht="17.25" x14ac:dyDescent="0.25">
      <c r="A13" s="21"/>
      <c r="B13" s="280">
        <v>1</v>
      </c>
      <c r="C13" s="283" t="s">
        <v>0</v>
      </c>
      <c r="D13" s="224">
        <f>F13/1000</f>
        <v>1.7092203252719811E-2</v>
      </c>
      <c r="E13" s="285" t="s">
        <v>177</v>
      </c>
      <c r="F13" s="225">
        <f>F$6</f>
        <v>17.092203252719809</v>
      </c>
      <c r="G13" s="285" t="s">
        <v>27</v>
      </c>
      <c r="H13" s="288"/>
      <c r="I13" s="285"/>
      <c r="J13" s="212">
        <v>1000</v>
      </c>
      <c r="K13" s="285" t="s">
        <v>179</v>
      </c>
      <c r="L13" s="215">
        <v>0.4</v>
      </c>
      <c r="M13" s="285" t="s">
        <v>40</v>
      </c>
      <c r="N13" s="229"/>
      <c r="O13" s="289"/>
      <c r="P13" s="21"/>
      <c r="Q13" s="185"/>
      <c r="R13" s="185"/>
      <c r="S13" s="185"/>
      <c r="T13" s="185"/>
      <c r="U13" s="185"/>
      <c r="V13" s="185"/>
      <c r="W13" s="19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</row>
    <row r="14" spans="1:44" x14ac:dyDescent="0.25">
      <c r="A14" s="21"/>
      <c r="B14" s="280"/>
      <c r="C14" s="283" t="s">
        <v>39</v>
      </c>
      <c r="D14" s="230">
        <f>L14*SUM(D10:D13)/(1-L14)</f>
        <v>3.0481232557973219E-3</v>
      </c>
      <c r="E14" s="285"/>
      <c r="F14" s="290"/>
      <c r="G14" s="285"/>
      <c r="H14" s="288"/>
      <c r="I14" s="285"/>
      <c r="J14" s="288"/>
      <c r="K14" s="285"/>
      <c r="L14" s="218">
        <v>0.04</v>
      </c>
      <c r="M14" s="288"/>
      <c r="N14" s="229"/>
      <c r="O14" s="289"/>
      <c r="P14" s="21"/>
      <c r="Q14" s="185"/>
      <c r="R14" s="185"/>
      <c r="S14" s="185"/>
      <c r="T14" s="185"/>
      <c r="U14" s="185"/>
      <c r="V14" s="185"/>
      <c r="W14" s="19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</row>
    <row r="15" spans="1:44" ht="18" x14ac:dyDescent="0.25">
      <c r="A15" s="21"/>
      <c r="B15" s="280"/>
      <c r="C15" s="283" t="s">
        <v>33</v>
      </c>
      <c r="D15" s="232">
        <f>SUM(D10:D14)</f>
        <v>7.620308139493305E-2</v>
      </c>
      <c r="E15" s="285" t="s">
        <v>177</v>
      </c>
      <c r="F15" s="219">
        <f>SUM(F10:F13)</f>
        <v>168.56038615331332</v>
      </c>
      <c r="G15" s="285" t="s">
        <v>27</v>
      </c>
      <c r="H15" s="288"/>
      <c r="I15" s="285"/>
      <c r="J15" s="220">
        <f>F15/D15</f>
        <v>2211.9891094656095</v>
      </c>
      <c r="K15" s="285" t="s">
        <v>179</v>
      </c>
      <c r="L15" s="288"/>
      <c r="M15" s="291" t="s">
        <v>18</v>
      </c>
      <c r="N15" s="293">
        <f>N10*L10+N11*L11+N12*L12</f>
        <v>177.31684809998993</v>
      </c>
      <c r="O15" s="289" t="s">
        <v>64</v>
      </c>
      <c r="P15" s="21"/>
      <c r="Q15" s="185"/>
      <c r="R15" s="185"/>
      <c r="S15" s="185"/>
      <c r="T15" s="185"/>
      <c r="U15" s="185"/>
      <c r="V15" s="185"/>
      <c r="W15" s="19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  <c r="AL15" s="185"/>
      <c r="AM15" s="185"/>
      <c r="AN15" s="185"/>
      <c r="AO15" s="185"/>
      <c r="AP15" s="185"/>
      <c r="AQ15" s="185"/>
      <c r="AR15" s="185"/>
    </row>
    <row r="16" spans="1:44" x14ac:dyDescent="0.25">
      <c r="A16" s="21"/>
      <c r="B16" s="243"/>
      <c r="C16" s="205" t="s">
        <v>110</v>
      </c>
      <c r="D16" s="256"/>
      <c r="E16" s="221"/>
      <c r="F16" s="257"/>
      <c r="G16" s="221"/>
      <c r="H16" s="222"/>
      <c r="I16" s="221"/>
      <c r="J16" s="256"/>
      <c r="K16" s="221"/>
      <c r="L16" s="256"/>
      <c r="M16" s="213"/>
      <c r="N16" s="213"/>
      <c r="O16" s="223"/>
      <c r="P16" s="21"/>
      <c r="Q16" s="185"/>
      <c r="R16" s="185"/>
      <c r="S16" s="185"/>
      <c r="T16" s="185"/>
      <c r="U16" s="185"/>
      <c r="V16" s="185"/>
      <c r="W16" s="19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</row>
    <row r="17" spans="1:44" ht="18" x14ac:dyDescent="0.25">
      <c r="A17" s="21"/>
      <c r="B17" s="243">
        <v>3.15</v>
      </c>
      <c r="C17" s="202" t="str">
        <f>Choices!$H$41</f>
        <v>ASTM C150 Portland Cement Type I or II</v>
      </c>
      <c r="D17" s="224">
        <f>F17/B17/1000</f>
        <v>8.1391444060570518E-3</v>
      </c>
      <c r="E17" s="221" t="s">
        <v>177</v>
      </c>
      <c r="F17" s="225">
        <f>F$4-F18</f>
        <v>25.638304879079708</v>
      </c>
      <c r="G17" s="221" t="s">
        <v>27</v>
      </c>
      <c r="H17" s="208">
        <v>1</v>
      </c>
      <c r="I17" s="221" t="s">
        <v>178</v>
      </c>
      <c r="J17" s="209">
        <v>1509</v>
      </c>
      <c r="K17" s="221" t="s">
        <v>179</v>
      </c>
      <c r="L17" s="210">
        <f>F17/$F$8</f>
        <v>0.15210160266102207</v>
      </c>
      <c r="M17" s="226">
        <f>1-M18</f>
        <v>0.6</v>
      </c>
      <c r="N17" s="188">
        <f>OPCCO2Grout</f>
        <v>919</v>
      </c>
      <c r="O17" s="221" t="s">
        <v>175</v>
      </c>
      <c r="P17" s="21"/>
      <c r="Q17" s="185"/>
      <c r="R17" s="185"/>
      <c r="S17" s="185"/>
      <c r="T17" s="185"/>
      <c r="U17" s="185"/>
      <c r="V17" s="185"/>
      <c r="W17" s="19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5"/>
      <c r="AN17" s="185"/>
      <c r="AO17" s="185"/>
      <c r="AP17" s="185"/>
      <c r="AQ17" s="185"/>
      <c r="AR17" s="185"/>
    </row>
    <row r="18" spans="1:44" ht="18" x14ac:dyDescent="0.25">
      <c r="A18" s="21"/>
      <c r="B18" s="243">
        <v>2.2000000000000002</v>
      </c>
      <c r="C18" s="34" t="s">
        <v>115</v>
      </c>
      <c r="D18" s="224">
        <f>F18/B18/1000</f>
        <v>7.7691832966908219E-3</v>
      </c>
      <c r="E18" s="221" t="s">
        <v>177</v>
      </c>
      <c r="F18" s="225">
        <f>F$4*M18</f>
        <v>17.092203252719809</v>
      </c>
      <c r="G18" s="221" t="s">
        <v>27</v>
      </c>
      <c r="H18" s="213"/>
      <c r="I18" s="221"/>
      <c r="J18" s="213"/>
      <c r="K18" s="221"/>
      <c r="L18" s="210">
        <f>F18/$F$8</f>
        <v>0.10140106844068141</v>
      </c>
      <c r="M18" s="227">
        <v>0.4</v>
      </c>
      <c r="N18" s="188">
        <f>FlyAshCO2</f>
        <v>3.92</v>
      </c>
      <c r="O18" s="221" t="s">
        <v>175</v>
      </c>
      <c r="P18" s="21"/>
      <c r="Q18" s="185"/>
      <c r="R18" s="185"/>
      <c r="S18" s="185"/>
      <c r="T18" s="185"/>
      <c r="U18" s="185"/>
      <c r="V18" s="185"/>
      <c r="W18" s="19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</row>
    <row r="19" spans="1:44" ht="18" x14ac:dyDescent="0.25">
      <c r="A19" s="21"/>
      <c r="B19" s="243">
        <v>2.65</v>
      </c>
      <c r="C19" s="34" t="s">
        <v>48</v>
      </c>
      <c r="D19" s="224">
        <f>F19/B19/1000</f>
        <v>4.1033084818412828E-2</v>
      </c>
      <c r="E19" s="221" t="s">
        <v>177</v>
      </c>
      <c r="F19" s="225">
        <f>F$5</f>
        <v>108.73767476879399</v>
      </c>
      <c r="G19" s="221" t="s">
        <v>27</v>
      </c>
      <c r="H19" s="208">
        <v>3</v>
      </c>
      <c r="I19" s="221" t="s">
        <v>178</v>
      </c>
      <c r="J19" s="212">
        <v>1280</v>
      </c>
      <c r="K19" s="221" t="s">
        <v>179</v>
      </c>
      <c r="L19" s="210">
        <f>F19/$F$8</f>
        <v>0.64509626045761514</v>
      </c>
      <c r="M19" s="213"/>
      <c r="N19" s="211">
        <f>ConcreteSandCO2</f>
        <v>3.63</v>
      </c>
      <c r="O19" s="221" t="s">
        <v>175</v>
      </c>
      <c r="P19" s="21"/>
      <c r="Q19" s="185"/>
      <c r="R19" s="185"/>
      <c r="S19" s="185"/>
      <c r="T19" s="185"/>
      <c r="U19" s="185"/>
      <c r="V19" s="185"/>
      <c r="W19" s="19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</row>
    <row r="20" spans="1:44" ht="17.25" x14ac:dyDescent="0.25">
      <c r="A20" s="21"/>
      <c r="B20" s="243">
        <v>1</v>
      </c>
      <c r="C20" s="34" t="s">
        <v>0</v>
      </c>
      <c r="D20" s="224">
        <f>F20/1000</f>
        <v>1.7092203252719811E-2</v>
      </c>
      <c r="E20" s="221" t="s">
        <v>177</v>
      </c>
      <c r="F20" s="225">
        <f>F$6</f>
        <v>17.092203252719809</v>
      </c>
      <c r="G20" s="221" t="s">
        <v>27</v>
      </c>
      <c r="H20" s="213"/>
      <c r="I20" s="213"/>
      <c r="J20" s="212">
        <v>1000</v>
      </c>
      <c r="K20" s="221" t="s">
        <v>179</v>
      </c>
      <c r="L20" s="215">
        <v>0.4</v>
      </c>
      <c r="M20" s="221" t="s">
        <v>40</v>
      </c>
      <c r="N20" s="239"/>
      <c r="O20" s="221"/>
      <c r="P20" s="21"/>
      <c r="Q20" s="185"/>
      <c r="R20" s="185"/>
      <c r="S20" s="185"/>
      <c r="T20" s="185"/>
      <c r="U20" s="185"/>
      <c r="V20" s="185"/>
      <c r="W20" s="19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</row>
    <row r="21" spans="1:44" x14ac:dyDescent="0.25">
      <c r="A21" s="21"/>
      <c r="B21" s="246"/>
      <c r="C21" s="34" t="s">
        <v>39</v>
      </c>
      <c r="D21" s="230">
        <f>L21*SUM(D17:D20)/(1-L21)</f>
        <v>3.0847339905783551E-3</v>
      </c>
      <c r="E21" s="221"/>
      <c r="F21" s="213"/>
      <c r="G21" s="213"/>
      <c r="H21" s="213"/>
      <c r="I21" s="213"/>
      <c r="J21" s="213"/>
      <c r="K21" s="221"/>
      <c r="L21" s="218">
        <v>0.04</v>
      </c>
      <c r="M21" s="213"/>
      <c r="N21" s="239"/>
      <c r="O21" s="221"/>
      <c r="P21" s="21"/>
      <c r="Q21" s="185"/>
      <c r="R21" s="185"/>
      <c r="S21" s="185"/>
      <c r="T21" s="185"/>
      <c r="U21" s="185"/>
      <c r="V21" s="185"/>
      <c r="W21" s="19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</row>
    <row r="22" spans="1:44" ht="18" x14ac:dyDescent="0.25">
      <c r="A22" s="21"/>
      <c r="B22" s="246"/>
      <c r="C22" s="34" t="s">
        <v>33</v>
      </c>
      <c r="D22" s="232">
        <f>SUM(D17:D21)</f>
        <v>7.7118349764458874E-2</v>
      </c>
      <c r="E22" s="221" t="s">
        <v>177</v>
      </c>
      <c r="F22" s="240">
        <f>SUM(F17:F20)</f>
        <v>168.56038615331332</v>
      </c>
      <c r="G22" s="221" t="s">
        <v>27</v>
      </c>
      <c r="H22" s="213"/>
      <c r="I22" s="213"/>
      <c r="J22" s="220">
        <f>F22/D22</f>
        <v>2185.736425482964</v>
      </c>
      <c r="K22" s="221" t="s">
        <v>179</v>
      </c>
      <c r="L22" s="213"/>
      <c r="M22" s="233" t="s">
        <v>18</v>
      </c>
      <c r="N22" s="293">
        <f>N17*L17+N18*L18+N19*L19</f>
        <v>142.5205644592279</v>
      </c>
      <c r="O22" s="221" t="s">
        <v>175</v>
      </c>
      <c r="P22" s="21"/>
      <c r="Q22" s="185"/>
      <c r="R22" s="185"/>
      <c r="S22" s="185"/>
      <c r="T22" s="185"/>
      <c r="U22" s="185"/>
      <c r="V22" s="185"/>
      <c r="W22" s="19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</row>
    <row r="23" spans="1:44" x14ac:dyDescent="0.25">
      <c r="A23" s="21"/>
      <c r="B23" s="244"/>
      <c r="C23" s="204" t="s">
        <v>182</v>
      </c>
      <c r="D23" s="234"/>
      <c r="E23" s="235"/>
      <c r="F23" s="236"/>
      <c r="G23" s="235"/>
      <c r="H23" s="237"/>
      <c r="I23" s="235"/>
      <c r="J23" s="234"/>
      <c r="K23" s="235"/>
      <c r="L23" s="234"/>
      <c r="M23" s="229"/>
      <c r="N23" s="229"/>
      <c r="O23" s="238"/>
      <c r="P23" s="21"/>
      <c r="Q23" s="185"/>
      <c r="R23" s="185"/>
      <c r="S23" s="185"/>
      <c r="T23" s="185"/>
      <c r="U23" s="185"/>
      <c r="V23" s="185"/>
      <c r="W23" s="19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185"/>
      <c r="AQ23" s="185"/>
      <c r="AR23" s="185"/>
    </row>
    <row r="24" spans="1:44" ht="18" x14ac:dyDescent="0.25">
      <c r="A24" s="21"/>
      <c r="B24" s="244">
        <v>3.15</v>
      </c>
      <c r="C24" s="203" t="str">
        <f>Choices!$H$41</f>
        <v>ASTM C150 Portland Cement Type I or II</v>
      </c>
      <c r="D24" s="224">
        <f>F24/B24/1000</f>
        <v>2.7130481353523491E-3</v>
      </c>
      <c r="E24" s="235" t="s">
        <v>177</v>
      </c>
      <c r="F24" s="225">
        <f>F$4-F25-F26</f>
        <v>8.5461016263598992</v>
      </c>
      <c r="G24" s="235" t="s">
        <v>27</v>
      </c>
      <c r="H24" s="208">
        <v>1</v>
      </c>
      <c r="I24" s="235" t="s">
        <v>178</v>
      </c>
      <c r="J24" s="209">
        <v>1509</v>
      </c>
      <c r="K24" s="235" t="s">
        <v>179</v>
      </c>
      <c r="L24" s="210">
        <f>F24/$F$8</f>
        <v>5.0700534220340668E-2</v>
      </c>
      <c r="M24" s="226">
        <f>1-M25-M26</f>
        <v>0.19999999999999996</v>
      </c>
      <c r="N24" s="188">
        <f>OPCCO2Grout</f>
        <v>919</v>
      </c>
      <c r="O24" s="238" t="s">
        <v>64</v>
      </c>
      <c r="P24" s="21"/>
      <c r="Q24" s="185"/>
      <c r="R24" s="185"/>
      <c r="S24" s="185"/>
      <c r="T24" s="185"/>
      <c r="U24" s="185"/>
      <c r="V24" s="185"/>
      <c r="W24" s="19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</row>
    <row r="25" spans="1:44" ht="18" x14ac:dyDescent="0.25">
      <c r="A25" s="21"/>
      <c r="B25" s="244">
        <v>2.2000000000000002</v>
      </c>
      <c r="C25" s="180" t="s">
        <v>115</v>
      </c>
      <c r="D25" s="224">
        <f>F25/B25/1000</f>
        <v>4.855739560431763E-3</v>
      </c>
      <c r="E25" s="235" t="s">
        <v>177</v>
      </c>
      <c r="F25" s="225">
        <f>F$4*M25</f>
        <v>10.682627032949879</v>
      </c>
      <c r="G25" s="235" t="s">
        <v>27</v>
      </c>
      <c r="H25" s="229"/>
      <c r="I25" s="235"/>
      <c r="J25" s="229"/>
      <c r="K25" s="235"/>
      <c r="L25" s="210">
        <f>F25/$F$8</f>
        <v>6.3375667775425873E-2</v>
      </c>
      <c r="M25" s="227">
        <v>0.25</v>
      </c>
      <c r="N25" s="188">
        <f>FlyAshCO2</f>
        <v>3.92</v>
      </c>
      <c r="O25" s="238" t="s">
        <v>64</v>
      </c>
      <c r="P25" s="21"/>
      <c r="Q25" s="185"/>
      <c r="R25" s="185"/>
      <c r="S25" s="185"/>
      <c r="T25" s="185"/>
      <c r="U25" s="185"/>
      <c r="V25" s="185"/>
      <c r="W25" s="19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</row>
    <row r="26" spans="1:44" ht="18" x14ac:dyDescent="0.25">
      <c r="A26" s="21"/>
      <c r="B26" s="244">
        <v>2.93</v>
      </c>
      <c r="C26" s="180" t="s">
        <v>180</v>
      </c>
      <c r="D26" s="224">
        <f>F26/B26/1000</f>
        <v>8.0210851441944488E-3</v>
      </c>
      <c r="E26" s="235" t="s">
        <v>177</v>
      </c>
      <c r="F26" s="225">
        <f>F$4*M26</f>
        <v>23.501779472489737</v>
      </c>
      <c r="G26" s="235" t="s">
        <v>27</v>
      </c>
      <c r="H26" s="229"/>
      <c r="I26" s="235"/>
      <c r="J26" s="229"/>
      <c r="K26" s="235"/>
      <c r="L26" s="210">
        <f>F26/$F$8</f>
        <v>0.13942646910593692</v>
      </c>
      <c r="M26" s="228">
        <v>0.55000000000000004</v>
      </c>
      <c r="N26" s="188">
        <f>SlagCO2</f>
        <v>147</v>
      </c>
      <c r="O26" s="238" t="s">
        <v>64</v>
      </c>
      <c r="P26" s="21"/>
      <c r="Q26" s="185"/>
      <c r="R26" s="185"/>
      <c r="S26" s="185"/>
      <c r="T26" s="185"/>
      <c r="U26" s="185"/>
      <c r="V26" s="185"/>
      <c r="W26" s="19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</row>
    <row r="27" spans="1:44" ht="18" x14ac:dyDescent="0.25">
      <c r="A27" s="21"/>
      <c r="B27" s="244">
        <v>2.65</v>
      </c>
      <c r="C27" s="180" t="s">
        <v>48</v>
      </c>
      <c r="D27" s="224">
        <f>F27/B27/1000</f>
        <v>4.1033084818412828E-2</v>
      </c>
      <c r="E27" s="235" t="s">
        <v>177</v>
      </c>
      <c r="F27" s="225">
        <f>F$5</f>
        <v>108.73767476879399</v>
      </c>
      <c r="G27" s="235" t="s">
        <v>27</v>
      </c>
      <c r="H27" s="208">
        <v>3</v>
      </c>
      <c r="I27" s="235" t="s">
        <v>178</v>
      </c>
      <c r="J27" s="212">
        <v>1280</v>
      </c>
      <c r="K27" s="235" t="s">
        <v>179</v>
      </c>
      <c r="L27" s="210">
        <f>F27/$F$8</f>
        <v>0.64509626045761514</v>
      </c>
      <c r="M27" s="229"/>
      <c r="N27" s="211">
        <f>ConcreteSandCO2</f>
        <v>3.63</v>
      </c>
      <c r="O27" s="238" t="s">
        <v>64</v>
      </c>
      <c r="P27" s="21"/>
      <c r="Q27" s="185"/>
      <c r="R27" s="185"/>
      <c r="S27" s="185"/>
      <c r="T27" s="185"/>
      <c r="U27" s="185"/>
      <c r="V27" s="185"/>
      <c r="W27" s="19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</row>
    <row r="28" spans="1:44" ht="17.25" x14ac:dyDescent="0.25">
      <c r="A28" s="21"/>
      <c r="B28" s="244">
        <v>1</v>
      </c>
      <c r="C28" s="180" t="s">
        <v>0</v>
      </c>
      <c r="D28" s="224">
        <f>F28/1000</f>
        <v>1.7092203252719811E-2</v>
      </c>
      <c r="E28" s="235" t="s">
        <v>177</v>
      </c>
      <c r="F28" s="225">
        <f>F$6</f>
        <v>17.092203252719809</v>
      </c>
      <c r="G28" s="235" t="s">
        <v>27</v>
      </c>
      <c r="H28" s="229"/>
      <c r="I28" s="235"/>
      <c r="J28" s="212">
        <v>1000</v>
      </c>
      <c r="K28" s="235" t="s">
        <v>179</v>
      </c>
      <c r="L28" s="215">
        <v>0.4</v>
      </c>
      <c r="M28" s="235" t="s">
        <v>40</v>
      </c>
      <c r="N28" s="229"/>
      <c r="O28" s="238"/>
      <c r="P28" s="21"/>
      <c r="Q28" s="185"/>
      <c r="R28" s="185"/>
      <c r="S28" s="185"/>
      <c r="T28" s="185"/>
      <c r="U28" s="185"/>
      <c r="V28" s="185"/>
      <c r="W28" s="19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  <c r="AN28" s="185"/>
      <c r="AO28" s="185"/>
      <c r="AP28" s="185"/>
      <c r="AQ28" s="185"/>
      <c r="AR28" s="185"/>
    </row>
    <row r="29" spans="1:44" x14ac:dyDescent="0.25">
      <c r="A29" s="21"/>
      <c r="B29" s="244"/>
      <c r="C29" s="180" t="s">
        <v>39</v>
      </c>
      <c r="D29" s="230">
        <f>L29*SUM(D24:D28)/(1-L29)</f>
        <v>3.0714650379629663E-3</v>
      </c>
      <c r="E29" s="235"/>
      <c r="F29" s="231"/>
      <c r="G29" s="235"/>
      <c r="H29" s="229"/>
      <c r="I29" s="235"/>
      <c r="J29" s="229"/>
      <c r="K29" s="235"/>
      <c r="L29" s="218">
        <v>0.04</v>
      </c>
      <c r="M29" s="229"/>
      <c r="N29" s="229"/>
      <c r="O29" s="238"/>
      <c r="P29" s="21"/>
      <c r="Q29" s="185"/>
      <c r="R29" s="185"/>
      <c r="S29" s="185"/>
      <c r="T29" s="185"/>
      <c r="U29" s="185"/>
      <c r="V29" s="185"/>
      <c r="W29" s="19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</row>
    <row r="30" spans="1:44" ht="18" x14ac:dyDescent="0.25">
      <c r="A30" s="21"/>
      <c r="B30" s="244"/>
      <c r="C30" s="180" t="s">
        <v>33</v>
      </c>
      <c r="D30" s="232">
        <f>SUM(D24:D29)</f>
        <v>7.678662594907415E-2</v>
      </c>
      <c r="E30" s="235" t="s">
        <v>177</v>
      </c>
      <c r="F30" s="219">
        <f>SUM(F24:F28)</f>
        <v>168.56038615331332</v>
      </c>
      <c r="G30" s="235" t="s">
        <v>27</v>
      </c>
      <c r="H30" s="229"/>
      <c r="I30" s="235"/>
      <c r="J30" s="220">
        <f>F30/D30</f>
        <v>2195.1789659973429</v>
      </c>
      <c r="K30" s="235" t="s">
        <v>179</v>
      </c>
      <c r="L30" s="229"/>
      <c r="M30" s="241" t="s">
        <v>18</v>
      </c>
      <c r="N30" s="293">
        <f>N24*L24+N25*L25+N26*L26+N27*L27</f>
        <v>69.679613950206615</v>
      </c>
      <c r="O30" s="238" t="s">
        <v>64</v>
      </c>
      <c r="P30" s="21"/>
      <c r="Q30" s="185"/>
      <c r="R30" s="185"/>
      <c r="S30" s="185"/>
      <c r="T30" s="185"/>
      <c r="U30" s="185"/>
      <c r="V30" s="185"/>
      <c r="W30" s="19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  <c r="AL30" s="185"/>
      <c r="AM30" s="185"/>
      <c r="AN30" s="185"/>
      <c r="AO30" s="185"/>
      <c r="AP30" s="185"/>
      <c r="AQ30" s="185"/>
      <c r="AR30" s="185"/>
    </row>
    <row r="31" spans="1:44" x14ac:dyDescent="0.25">
      <c r="A31" s="21"/>
      <c r="B31" s="244"/>
      <c r="C31" s="180"/>
      <c r="D31" s="229"/>
      <c r="E31" s="235"/>
      <c r="F31" s="292"/>
      <c r="G31" s="235"/>
      <c r="H31" s="229"/>
      <c r="I31" s="235"/>
      <c r="J31" s="229"/>
      <c r="K31" s="235"/>
      <c r="L31" s="229"/>
      <c r="M31" s="229"/>
      <c r="N31" s="229"/>
      <c r="O31" s="229"/>
      <c r="P31" s="21"/>
      <c r="Q31" s="185"/>
      <c r="R31" s="185"/>
      <c r="S31" s="185"/>
      <c r="T31" s="185"/>
      <c r="U31" s="185"/>
      <c r="V31" s="185"/>
      <c r="W31" s="19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</row>
    <row r="32" spans="1:44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</row>
    <row r="33" spans="1:44" x14ac:dyDescent="0.25">
      <c r="A33" s="185"/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</row>
    <row r="34" spans="1:44" x14ac:dyDescent="0.25">
      <c r="A34" s="185"/>
      <c r="B34" s="185"/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</row>
    <row r="35" spans="1:44" x14ac:dyDescent="0.25">
      <c r="A35" s="185"/>
      <c r="B35" s="185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185"/>
      <c r="AN35" s="185"/>
      <c r="AO35" s="185"/>
      <c r="AP35" s="185"/>
      <c r="AQ35" s="185"/>
      <c r="AR35" s="185"/>
    </row>
    <row r="36" spans="1:44" x14ac:dyDescent="0.25">
      <c r="A36" s="185"/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</row>
    <row r="37" spans="1:44" x14ac:dyDescent="0.25">
      <c r="A37" s="185"/>
      <c r="B37" s="185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</row>
    <row r="38" spans="1:44" x14ac:dyDescent="0.25">
      <c r="A38" s="185"/>
      <c r="B38" s="185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5"/>
      <c r="AN38" s="185"/>
      <c r="AO38" s="185"/>
      <c r="AP38" s="185"/>
      <c r="AQ38" s="185"/>
      <c r="AR38" s="185"/>
    </row>
    <row r="39" spans="1:44" x14ac:dyDescent="0.25">
      <c r="A39" s="185"/>
      <c r="B39" s="185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5"/>
      <c r="AO39" s="185"/>
      <c r="AP39" s="185"/>
      <c r="AQ39" s="185"/>
      <c r="AR39" s="185"/>
    </row>
    <row r="40" spans="1:44" x14ac:dyDescent="0.25">
      <c r="A40" s="185"/>
      <c r="B40" s="185"/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</row>
    <row r="41" spans="1:44" x14ac:dyDescent="0.25">
      <c r="A41" s="185"/>
      <c r="B41" s="185"/>
      <c r="C41" s="185"/>
      <c r="D41" s="185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185"/>
      <c r="AN41" s="185"/>
      <c r="AO41" s="185"/>
      <c r="AP41" s="185"/>
      <c r="AQ41" s="185"/>
      <c r="AR41" s="185"/>
    </row>
    <row r="42" spans="1:44" x14ac:dyDescent="0.25">
      <c r="A42" s="185"/>
      <c r="B42" s="185"/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</row>
    <row r="43" spans="1:44" x14ac:dyDescent="0.25">
      <c r="A43" s="185"/>
      <c r="B43" s="185"/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5"/>
      <c r="AO43" s="185"/>
      <c r="AP43" s="185"/>
      <c r="AQ43" s="185"/>
      <c r="AR43" s="185"/>
    </row>
    <row r="44" spans="1:44" x14ac:dyDescent="0.25">
      <c r="A44" s="185"/>
      <c r="B44" s="185"/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</row>
    <row r="45" spans="1:44" x14ac:dyDescent="0.25">
      <c r="A45" s="185"/>
      <c r="B45" s="185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</row>
    <row r="46" spans="1:44" x14ac:dyDescent="0.25">
      <c r="A46" s="185"/>
      <c r="B46" s="185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</row>
    <row r="47" spans="1:44" x14ac:dyDescent="0.25">
      <c r="A47" s="185"/>
      <c r="B47" s="185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</row>
    <row r="48" spans="1:44" x14ac:dyDescent="0.25">
      <c r="A48" s="185"/>
      <c r="B48" s="185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</row>
    <row r="49" spans="1:44" x14ac:dyDescent="0.25">
      <c r="A49" s="185"/>
      <c r="B49" s="185"/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</row>
    <row r="50" spans="1:44" x14ac:dyDescent="0.25">
      <c r="A50" s="185"/>
      <c r="B50" s="185"/>
      <c r="C50" s="185"/>
      <c r="D50" s="185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</row>
    <row r="51" spans="1:44" x14ac:dyDescent="0.25">
      <c r="A51" s="185"/>
      <c r="B51" s="185"/>
      <c r="C51" s="185"/>
      <c r="D51" s="185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  <c r="AL51" s="185"/>
      <c r="AM51" s="185"/>
      <c r="AN51" s="185"/>
      <c r="AO51" s="185"/>
      <c r="AP51" s="185"/>
      <c r="AQ51" s="185"/>
      <c r="AR51" s="185"/>
    </row>
    <row r="52" spans="1:44" x14ac:dyDescent="0.25">
      <c r="A52" s="185"/>
      <c r="B52" s="185"/>
      <c r="C52" s="185"/>
      <c r="D52" s="185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  <c r="AL52" s="185"/>
      <c r="AM52" s="185"/>
      <c r="AN52" s="185"/>
      <c r="AO52" s="185"/>
      <c r="AP52" s="185"/>
      <c r="AQ52" s="185"/>
      <c r="AR52" s="185"/>
    </row>
    <row r="53" spans="1:44" x14ac:dyDescent="0.25">
      <c r="A53" s="185"/>
      <c r="B53" s="185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185"/>
      <c r="AP53" s="185"/>
      <c r="AQ53" s="185"/>
      <c r="AR53" s="185"/>
    </row>
    <row r="54" spans="1:44" x14ac:dyDescent="0.25">
      <c r="A54" s="185"/>
      <c r="B54" s="185"/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5"/>
      <c r="AO54" s="185"/>
      <c r="AP54" s="185"/>
      <c r="AQ54" s="185"/>
      <c r="AR54" s="185"/>
    </row>
    <row r="55" spans="1:44" x14ac:dyDescent="0.25">
      <c r="A55" s="185"/>
      <c r="B55" s="185"/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</row>
    <row r="56" spans="1:44" x14ac:dyDescent="0.25">
      <c r="A56" s="185"/>
      <c r="B56" s="185"/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85"/>
      <c r="AK56" s="185"/>
      <c r="AL56" s="185"/>
      <c r="AM56" s="185"/>
      <c r="AN56" s="185"/>
      <c r="AO56" s="185"/>
      <c r="AP56" s="185"/>
      <c r="AQ56" s="185"/>
      <c r="AR56" s="185"/>
    </row>
    <row r="57" spans="1:44" x14ac:dyDescent="0.25">
      <c r="A57" s="185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  <c r="AK57" s="185"/>
      <c r="AL57" s="185"/>
      <c r="AM57" s="185"/>
      <c r="AN57" s="185"/>
      <c r="AO57" s="185"/>
      <c r="AP57" s="185"/>
      <c r="AQ57" s="185"/>
      <c r="AR57" s="185"/>
    </row>
    <row r="58" spans="1:44" x14ac:dyDescent="0.25">
      <c r="A58" s="185"/>
      <c r="B58" s="185"/>
      <c r="C58" s="185"/>
      <c r="D58" s="185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  <c r="AK58" s="185"/>
      <c r="AL58" s="185"/>
      <c r="AM58" s="185"/>
      <c r="AN58" s="185"/>
      <c r="AO58" s="185"/>
      <c r="AP58" s="185"/>
      <c r="AQ58" s="185"/>
      <c r="AR58" s="185"/>
    </row>
    <row r="59" spans="1:44" x14ac:dyDescent="0.25">
      <c r="A59" s="185"/>
      <c r="B59" s="185"/>
      <c r="C59" s="185"/>
      <c r="D59" s="185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</row>
    <row r="60" spans="1:44" x14ac:dyDescent="0.25">
      <c r="A60" s="185"/>
      <c r="B60" s="185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</row>
    <row r="61" spans="1:44" x14ac:dyDescent="0.25">
      <c r="A61" s="185"/>
      <c r="B61" s="185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</row>
    <row r="62" spans="1:44" x14ac:dyDescent="0.25">
      <c r="A62" s="185"/>
      <c r="B62" s="185"/>
      <c r="C62" s="185"/>
      <c r="D62" s="185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</row>
    <row r="63" spans="1:44" x14ac:dyDescent="0.25">
      <c r="A63" s="185"/>
      <c r="B63" s="185"/>
      <c r="C63" s="185"/>
      <c r="D63" s="185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</row>
    <row r="64" spans="1:44" x14ac:dyDescent="0.25">
      <c r="A64" s="185"/>
      <c r="B64" s="185"/>
      <c r="C64" s="185"/>
      <c r="D64" s="185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</row>
    <row r="65" spans="1:44" x14ac:dyDescent="0.25">
      <c r="A65" s="185"/>
      <c r="B65" s="185"/>
      <c r="C65" s="185"/>
      <c r="D65" s="185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</row>
    <row r="66" spans="1:44" x14ac:dyDescent="0.25">
      <c r="A66" s="185"/>
      <c r="B66" s="185"/>
      <c r="C66" s="185"/>
      <c r="D66" s="185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</row>
    <row r="67" spans="1:44" x14ac:dyDescent="0.25">
      <c r="A67" s="185"/>
      <c r="B67" s="185"/>
      <c r="C67" s="185"/>
      <c r="D67" s="185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5"/>
      <c r="AF67" s="185"/>
      <c r="AG67" s="185"/>
      <c r="AH67" s="185"/>
      <c r="AI67" s="185"/>
      <c r="AJ67" s="185"/>
      <c r="AK67" s="185"/>
      <c r="AL67" s="185"/>
      <c r="AM67" s="185"/>
      <c r="AN67" s="185"/>
      <c r="AO67" s="185"/>
      <c r="AP67" s="185"/>
      <c r="AQ67" s="185"/>
      <c r="AR67" s="185"/>
    </row>
    <row r="68" spans="1:44" x14ac:dyDescent="0.25">
      <c r="A68" s="185"/>
      <c r="B68" s="185"/>
      <c r="C68" s="185"/>
      <c r="D68" s="185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</row>
    <row r="69" spans="1:44" x14ac:dyDescent="0.25">
      <c r="A69" s="185"/>
      <c r="B69" s="185"/>
      <c r="C69" s="185"/>
      <c r="D69" s="185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5"/>
      <c r="W69" s="185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5"/>
      <c r="AP69" s="185"/>
      <c r="AQ69" s="185"/>
      <c r="AR69" s="185"/>
    </row>
    <row r="70" spans="1:44" x14ac:dyDescent="0.25">
      <c r="A70" s="185"/>
      <c r="B70" s="185"/>
      <c r="C70" s="185"/>
      <c r="D70" s="185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</row>
    <row r="71" spans="1:44" x14ac:dyDescent="0.25">
      <c r="A71" s="185"/>
      <c r="B71" s="185"/>
      <c r="C71" s="185"/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  <c r="AL71" s="185"/>
      <c r="AM71" s="185"/>
      <c r="AN71" s="185"/>
      <c r="AO71" s="185"/>
      <c r="AP71" s="185"/>
      <c r="AQ71" s="185"/>
      <c r="AR71" s="185"/>
    </row>
    <row r="72" spans="1:44" x14ac:dyDescent="0.25">
      <c r="A72" s="185"/>
      <c r="B72" s="185"/>
      <c r="C72" s="185"/>
      <c r="D72" s="185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  <c r="W72" s="185"/>
      <c r="X72" s="185"/>
      <c r="Y72" s="185"/>
      <c r="Z72" s="185"/>
      <c r="AA72" s="185"/>
      <c r="AB72" s="185"/>
      <c r="AC72" s="185"/>
      <c r="AD72" s="185"/>
      <c r="AE72" s="185"/>
      <c r="AF72" s="185"/>
      <c r="AG72" s="185"/>
      <c r="AH72" s="185"/>
      <c r="AI72" s="185"/>
      <c r="AJ72" s="185"/>
      <c r="AK72" s="185"/>
      <c r="AL72" s="185"/>
      <c r="AM72" s="185"/>
      <c r="AN72" s="185"/>
      <c r="AO72" s="185"/>
      <c r="AP72" s="185"/>
      <c r="AQ72" s="185"/>
      <c r="AR72" s="185"/>
    </row>
    <row r="73" spans="1:44" x14ac:dyDescent="0.25">
      <c r="A73" s="185"/>
      <c r="B73" s="185"/>
      <c r="C73" s="185"/>
      <c r="D73" s="185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</row>
    <row r="74" spans="1:44" x14ac:dyDescent="0.25">
      <c r="A74" s="185"/>
      <c r="B74" s="185"/>
      <c r="C74" s="185"/>
      <c r="D74" s="185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</row>
    <row r="75" spans="1:44" x14ac:dyDescent="0.25">
      <c r="A75" s="185"/>
      <c r="B75" s="185"/>
      <c r="C75" s="185"/>
      <c r="D75" s="185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  <c r="AC75" s="185"/>
      <c r="AD75" s="185"/>
      <c r="AE75" s="185"/>
      <c r="AF75" s="185"/>
      <c r="AG75" s="185"/>
      <c r="AH75" s="185"/>
      <c r="AI75" s="185"/>
      <c r="AJ75" s="185"/>
      <c r="AK75" s="185"/>
      <c r="AL75" s="185"/>
      <c r="AM75" s="185"/>
      <c r="AN75" s="185"/>
      <c r="AO75" s="185"/>
      <c r="AP75" s="185"/>
      <c r="AQ75" s="185"/>
      <c r="AR75" s="185"/>
    </row>
    <row r="76" spans="1:44" x14ac:dyDescent="0.25">
      <c r="A76" s="185"/>
      <c r="B76" s="185"/>
      <c r="C76" s="185"/>
      <c r="D76" s="185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</row>
    <row r="77" spans="1:44" x14ac:dyDescent="0.25">
      <c r="A77" s="185"/>
      <c r="B77" s="185"/>
      <c r="C77" s="185"/>
      <c r="D77" s="185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  <c r="AC77" s="185"/>
      <c r="AD77" s="185"/>
      <c r="AE77" s="185"/>
      <c r="AF77" s="185"/>
      <c r="AG77" s="185"/>
      <c r="AH77" s="185"/>
      <c r="AI77" s="185"/>
      <c r="AJ77" s="185"/>
      <c r="AK77" s="185"/>
      <c r="AL77" s="185"/>
      <c r="AM77" s="185"/>
      <c r="AN77" s="185"/>
      <c r="AO77" s="185"/>
      <c r="AP77" s="185"/>
      <c r="AQ77" s="185"/>
      <c r="AR77" s="185"/>
    </row>
    <row r="78" spans="1:44" x14ac:dyDescent="0.25">
      <c r="A78" s="185"/>
      <c r="B78" s="185"/>
      <c r="C78" s="185"/>
      <c r="D78" s="185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185"/>
      <c r="AK78" s="185"/>
      <c r="AL78" s="185"/>
      <c r="AM78" s="185"/>
      <c r="AN78" s="185"/>
      <c r="AO78" s="185"/>
      <c r="AP78" s="185"/>
      <c r="AQ78" s="185"/>
      <c r="AR78" s="185"/>
    </row>
    <row r="79" spans="1:44" x14ac:dyDescent="0.25">
      <c r="A79" s="185"/>
      <c r="B79" s="185"/>
      <c r="C79" s="185"/>
      <c r="D79" s="185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  <c r="R79" s="185"/>
      <c r="S79" s="185"/>
      <c r="T79" s="185"/>
      <c r="U79" s="185"/>
      <c r="V79" s="185"/>
      <c r="W79" s="185"/>
      <c r="X79" s="185"/>
      <c r="Y79" s="185"/>
      <c r="Z79" s="185"/>
      <c r="AA79" s="185"/>
      <c r="AB79" s="185"/>
      <c r="AC79" s="185"/>
      <c r="AD79" s="185"/>
      <c r="AE79" s="185"/>
      <c r="AF79" s="185"/>
      <c r="AG79" s="185"/>
      <c r="AH79" s="185"/>
      <c r="AI79" s="185"/>
      <c r="AJ79" s="185"/>
      <c r="AK79" s="185"/>
      <c r="AL79" s="185"/>
      <c r="AM79" s="185"/>
      <c r="AN79" s="185"/>
      <c r="AO79" s="185"/>
      <c r="AP79" s="185"/>
      <c r="AQ79" s="185"/>
      <c r="AR79" s="185"/>
    </row>
    <row r="80" spans="1:44" x14ac:dyDescent="0.25">
      <c r="A80" s="185"/>
      <c r="B80" s="185"/>
      <c r="C80" s="185"/>
      <c r="D80" s="185"/>
      <c r="E80" s="185"/>
      <c r="F80" s="185"/>
      <c r="G80" s="185"/>
      <c r="H80" s="185"/>
      <c r="I80" s="185"/>
      <c r="J80" s="185"/>
      <c r="K80" s="185"/>
      <c r="L80" s="185"/>
      <c r="M80" s="185"/>
      <c r="N80" s="185"/>
      <c r="O80" s="185"/>
      <c r="P80" s="185"/>
      <c r="Q80" s="185"/>
      <c r="R80" s="185"/>
      <c r="S80" s="185"/>
      <c r="T80" s="185"/>
      <c r="U80" s="185"/>
      <c r="V80" s="185"/>
      <c r="W80" s="185"/>
      <c r="X80" s="185"/>
      <c r="Y80" s="185"/>
      <c r="Z80" s="185"/>
      <c r="AA80" s="185"/>
      <c r="AB80" s="185"/>
      <c r="AC80" s="185"/>
      <c r="AD80" s="185"/>
      <c r="AE80" s="185"/>
      <c r="AF80" s="185"/>
      <c r="AG80" s="185"/>
      <c r="AH80" s="185"/>
      <c r="AI80" s="185"/>
      <c r="AJ80" s="185"/>
      <c r="AK80" s="185"/>
      <c r="AL80" s="185"/>
      <c r="AM80" s="185"/>
      <c r="AN80" s="185"/>
      <c r="AO80" s="185"/>
      <c r="AP80" s="185"/>
      <c r="AQ80" s="185"/>
      <c r="AR80" s="185"/>
    </row>
    <row r="81" spans="1:44" x14ac:dyDescent="0.25">
      <c r="A81" s="185"/>
      <c r="B81" s="185"/>
      <c r="C81" s="185"/>
      <c r="D81" s="185"/>
      <c r="E81" s="185"/>
      <c r="F81" s="185"/>
      <c r="G81" s="185"/>
      <c r="H81" s="185"/>
      <c r="I81" s="185"/>
      <c r="J81" s="185"/>
      <c r="K81" s="185"/>
      <c r="L81" s="185"/>
      <c r="M81" s="185"/>
      <c r="N81" s="185"/>
      <c r="O81" s="185"/>
      <c r="P81" s="185"/>
      <c r="Q81" s="185"/>
      <c r="R81" s="185"/>
      <c r="S81" s="185"/>
      <c r="T81" s="185"/>
      <c r="U81" s="185"/>
      <c r="V81" s="185"/>
      <c r="W81" s="185"/>
      <c r="X81" s="185"/>
      <c r="Y81" s="185"/>
      <c r="Z81" s="185"/>
      <c r="AA81" s="185"/>
      <c r="AB81" s="185"/>
      <c r="AC81" s="185"/>
      <c r="AD81" s="185"/>
      <c r="AE81" s="185"/>
      <c r="AF81" s="185"/>
      <c r="AG81" s="185"/>
      <c r="AH81" s="185"/>
      <c r="AI81" s="185"/>
      <c r="AJ81" s="185"/>
      <c r="AK81" s="185"/>
      <c r="AL81" s="185"/>
      <c r="AM81" s="185"/>
      <c r="AN81" s="185"/>
      <c r="AO81" s="185"/>
      <c r="AP81" s="185"/>
      <c r="AQ81" s="185"/>
      <c r="AR81" s="185"/>
    </row>
    <row r="82" spans="1:44" x14ac:dyDescent="0.25">
      <c r="A82" s="185"/>
      <c r="B82" s="185"/>
      <c r="C82" s="185"/>
      <c r="D82" s="185"/>
      <c r="E82" s="185"/>
      <c r="F82" s="185"/>
      <c r="G82" s="185"/>
      <c r="H82" s="185"/>
      <c r="I82" s="185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185"/>
      <c r="AQ82" s="185"/>
      <c r="AR82" s="185"/>
    </row>
    <row r="83" spans="1:44" x14ac:dyDescent="0.25">
      <c r="A83" s="185"/>
      <c r="B83" s="185"/>
      <c r="C83" s="185"/>
      <c r="D83" s="185"/>
      <c r="E83" s="185"/>
      <c r="F83" s="185"/>
      <c r="G83" s="185"/>
      <c r="H83" s="185"/>
      <c r="I83" s="185"/>
      <c r="J83" s="185"/>
      <c r="K83" s="185"/>
      <c r="L83" s="185"/>
      <c r="M83" s="185"/>
      <c r="N83" s="185"/>
      <c r="O83" s="185"/>
      <c r="P83" s="185"/>
      <c r="Q83" s="185"/>
      <c r="R83" s="185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/>
      <c r="AE83" s="185"/>
      <c r="AF83" s="185"/>
      <c r="AG83" s="185"/>
      <c r="AH83" s="185"/>
      <c r="AI83" s="185"/>
      <c r="AJ83" s="185"/>
      <c r="AK83" s="185"/>
      <c r="AL83" s="185"/>
      <c r="AM83" s="185"/>
      <c r="AN83" s="185"/>
      <c r="AO83" s="185"/>
      <c r="AP83" s="185"/>
      <c r="AQ83" s="185"/>
      <c r="AR83" s="185"/>
    </row>
  </sheetData>
  <sheetProtection algorithmName="SHA-512" hashValue="7AJ6bR8+uNP07zYaQ+BgfmuY4F++IqmIyPzQmW5kgBVYLXQJumx1Z+QMx1Az4b0ucahmjIntmOT6bVQUWk4VdA==" saltValue="lOIXm1ZLrrAVsWgUSHlz2w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theme="1" tint="4.9989318521683403E-2"/>
  </sheetPr>
  <dimension ref="A1:AE62"/>
  <sheetViews>
    <sheetView showGridLines="0" workbookViewId="0">
      <selection activeCell="G1" sqref="G1"/>
    </sheetView>
  </sheetViews>
  <sheetFormatPr defaultRowHeight="15" x14ac:dyDescent="0.25"/>
  <cols>
    <col min="1" max="1" width="5.5703125" customWidth="1"/>
    <col min="3" max="3" width="50.85546875" customWidth="1"/>
    <col min="4" max="4" width="14.5703125" customWidth="1"/>
    <col min="5" max="5" width="3.7109375" customWidth="1"/>
    <col min="6" max="6" width="63" customWidth="1"/>
    <col min="7" max="7" width="6.140625" customWidth="1"/>
  </cols>
  <sheetData>
    <row r="1" spans="1:31" ht="22.5" customHeight="1" x14ac:dyDescent="0.3">
      <c r="A1" s="21"/>
      <c r="B1" s="39" t="str">
        <f>Choices!$C$1</f>
        <v>Angelus Block Carbon Calculator</v>
      </c>
      <c r="C1" s="21"/>
      <c r="D1" s="21"/>
      <c r="E1" s="21"/>
      <c r="F1" s="21"/>
      <c r="G1" s="96" t="str">
        <f>ver</f>
        <v>ver 1.9</v>
      </c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</row>
    <row r="2" spans="1:31" ht="26.25" x14ac:dyDescent="0.4">
      <c r="A2" s="21"/>
      <c r="B2" s="167" t="s">
        <v>17</v>
      </c>
      <c r="C2" s="101"/>
      <c r="D2" s="101"/>
      <c r="E2" s="101"/>
      <c r="F2" s="21"/>
      <c r="G2" s="21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</row>
    <row r="3" spans="1:31" x14ac:dyDescent="0.25">
      <c r="A3" s="21"/>
      <c r="B3" s="19" t="s">
        <v>9</v>
      </c>
      <c r="C3" s="35" t="s">
        <v>19</v>
      </c>
      <c r="D3" s="12" t="s">
        <v>206</v>
      </c>
      <c r="E3" s="35"/>
      <c r="F3" s="33" t="s">
        <v>162</v>
      </c>
      <c r="G3" s="21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</row>
    <row r="4" spans="1:31" x14ac:dyDescent="0.25">
      <c r="A4" s="21"/>
      <c r="B4" s="5" t="s">
        <v>10</v>
      </c>
      <c r="C4" s="14" t="s">
        <v>86</v>
      </c>
      <c r="D4" s="13" t="s">
        <v>139</v>
      </c>
      <c r="E4" s="14"/>
      <c r="F4" s="143" t="s">
        <v>163</v>
      </c>
      <c r="G4" s="21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</row>
    <row r="5" spans="1:31" x14ac:dyDescent="0.25">
      <c r="A5" s="21"/>
      <c r="B5" s="19" t="s">
        <v>132</v>
      </c>
      <c r="C5" s="35" t="s">
        <v>185</v>
      </c>
      <c r="D5" s="190"/>
      <c r="E5" s="35"/>
      <c r="F5" s="21"/>
      <c r="G5" s="21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</row>
    <row r="6" spans="1:31" x14ac:dyDescent="0.25">
      <c r="A6" s="21"/>
      <c r="B6" s="5" t="s">
        <v>49</v>
      </c>
      <c r="C6" s="14" t="s">
        <v>85</v>
      </c>
      <c r="D6" s="14"/>
      <c r="E6" s="14"/>
      <c r="F6" s="21"/>
      <c r="G6" s="21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</row>
    <row r="7" spans="1:31" x14ac:dyDescent="0.25">
      <c r="A7" s="21"/>
      <c r="B7" s="19" t="s">
        <v>133</v>
      </c>
      <c r="C7" s="35" t="s">
        <v>131</v>
      </c>
      <c r="D7" s="35"/>
      <c r="E7" s="35"/>
      <c r="F7" s="21"/>
      <c r="G7" s="21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</row>
    <row r="8" spans="1:31" x14ac:dyDescent="0.25">
      <c r="A8" s="21"/>
      <c r="B8" s="22"/>
      <c r="C8" s="21"/>
      <c r="D8" s="21"/>
      <c r="E8" s="21"/>
      <c r="F8" s="21"/>
      <c r="G8" s="21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</row>
    <row r="9" spans="1:31" x14ac:dyDescent="0.25">
      <c r="A9" s="37"/>
      <c r="B9" s="37"/>
      <c r="C9" s="37"/>
      <c r="D9" s="37"/>
      <c r="E9" s="37"/>
      <c r="F9" s="37"/>
      <c r="G9" s="37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</row>
    <row r="10" spans="1:31" ht="26.25" x14ac:dyDescent="0.4">
      <c r="A10" s="37"/>
      <c r="B10" s="168" t="s">
        <v>79</v>
      </c>
      <c r="C10" s="37"/>
      <c r="D10" s="37"/>
      <c r="E10" s="37"/>
      <c r="F10" s="37"/>
      <c r="G10" s="37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</row>
    <row r="11" spans="1:31" x14ac:dyDescent="0.25">
      <c r="A11" s="37"/>
      <c r="B11" s="19" t="s">
        <v>88</v>
      </c>
      <c r="C11" s="187" t="s">
        <v>214</v>
      </c>
      <c r="D11" s="35"/>
      <c r="E11" s="35"/>
      <c r="F11" s="35"/>
      <c r="G11" s="37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</row>
    <row r="12" spans="1:31" x14ac:dyDescent="0.25">
      <c r="A12" s="37"/>
      <c r="B12" s="5" t="s">
        <v>89</v>
      </c>
      <c r="C12" s="188" t="s">
        <v>213</v>
      </c>
      <c r="D12" s="14"/>
      <c r="E12" s="186"/>
      <c r="F12" s="14"/>
      <c r="G12" s="37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</row>
    <row r="13" spans="1:31" x14ac:dyDescent="0.25">
      <c r="A13" s="37"/>
      <c r="B13" s="19" t="s">
        <v>90</v>
      </c>
      <c r="C13" s="268" t="s">
        <v>207</v>
      </c>
      <c r="D13" s="35"/>
      <c r="E13" s="35"/>
      <c r="F13" s="35"/>
      <c r="G13" s="37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</row>
    <row r="14" spans="1:31" x14ac:dyDescent="0.25">
      <c r="A14" s="37"/>
      <c r="B14" s="5" t="s">
        <v>91</v>
      </c>
      <c r="C14" s="186" t="s">
        <v>210</v>
      </c>
      <c r="D14" s="14"/>
      <c r="E14" s="186"/>
      <c r="F14" s="14"/>
      <c r="G14" s="37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</row>
    <row r="15" spans="1:31" x14ac:dyDescent="0.25">
      <c r="A15" s="37"/>
      <c r="B15" s="19" t="s">
        <v>92</v>
      </c>
      <c r="C15" s="269" t="s">
        <v>212</v>
      </c>
      <c r="D15" s="35"/>
      <c r="E15" s="35"/>
      <c r="F15" s="35"/>
      <c r="G15" s="37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</row>
    <row r="16" spans="1:31" x14ac:dyDescent="0.25">
      <c r="A16" s="37"/>
      <c r="B16" s="5" t="s">
        <v>93</v>
      </c>
      <c r="C16" s="186" t="s">
        <v>98</v>
      </c>
      <c r="D16" s="14"/>
      <c r="E16" s="186"/>
      <c r="F16" s="14"/>
      <c r="G16" s="37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</row>
    <row r="17" spans="1:31" x14ac:dyDescent="0.25">
      <c r="A17" s="37"/>
      <c r="B17" s="19" t="s">
        <v>94</v>
      </c>
      <c r="C17" s="269" t="s">
        <v>211</v>
      </c>
      <c r="D17" s="35"/>
      <c r="E17" s="35"/>
      <c r="F17" s="35"/>
      <c r="G17" s="37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</row>
    <row r="18" spans="1:31" x14ac:dyDescent="0.25">
      <c r="A18" s="37"/>
      <c r="B18" s="5" t="s">
        <v>95</v>
      </c>
      <c r="C18" s="186" t="s">
        <v>30</v>
      </c>
      <c r="D18" s="14"/>
      <c r="E18" s="186"/>
      <c r="F18" s="14"/>
      <c r="G18" s="37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</row>
    <row r="19" spans="1:31" x14ac:dyDescent="0.25">
      <c r="A19" s="37"/>
      <c r="B19" s="19" t="s">
        <v>96</v>
      </c>
      <c r="C19" s="269" t="s">
        <v>209</v>
      </c>
      <c r="D19" s="35"/>
      <c r="E19" s="35"/>
      <c r="F19" s="35"/>
      <c r="G19" s="37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</row>
    <row r="20" spans="1:31" x14ac:dyDescent="0.25">
      <c r="A20" s="37"/>
      <c r="B20" s="5" t="s">
        <v>97</v>
      </c>
      <c r="C20" s="186" t="s">
        <v>215</v>
      </c>
      <c r="D20" s="14"/>
      <c r="E20" s="186"/>
      <c r="F20" s="14"/>
      <c r="G20" s="37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</row>
    <row r="21" spans="1:31" x14ac:dyDescent="0.25">
      <c r="A21" s="37"/>
      <c r="B21" s="19" t="s">
        <v>181</v>
      </c>
      <c r="C21" s="268" t="s">
        <v>208</v>
      </c>
      <c r="D21" s="35"/>
      <c r="E21" s="35"/>
      <c r="F21" s="35"/>
      <c r="G21" s="37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</row>
    <row r="22" spans="1:31" x14ac:dyDescent="0.25">
      <c r="A22" s="37"/>
      <c r="B22" s="37"/>
      <c r="C22" s="37"/>
      <c r="D22" s="37"/>
      <c r="E22" s="37"/>
      <c r="F22" s="37"/>
      <c r="G22" s="37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</row>
    <row r="23" spans="1:31" x14ac:dyDescent="0.25">
      <c r="A23" s="185"/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</row>
    <row r="24" spans="1:31" x14ac:dyDescent="0.25">
      <c r="A24" s="185"/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</row>
    <row r="25" spans="1:31" x14ac:dyDescent="0.25">
      <c r="A25" s="185"/>
      <c r="B25" s="185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</row>
    <row r="26" spans="1:31" x14ac:dyDescent="0.25">
      <c r="A26" s="185"/>
      <c r="B26" s="185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</row>
    <row r="27" spans="1:31" x14ac:dyDescent="0.25">
      <c r="A27" s="185"/>
      <c r="B27" s="185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</row>
    <row r="28" spans="1:31" x14ac:dyDescent="0.25">
      <c r="A28" s="185"/>
      <c r="B28" s="185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</row>
    <row r="29" spans="1:31" x14ac:dyDescent="0.25">
      <c r="A29" s="185"/>
      <c r="B29" s="185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</row>
    <row r="30" spans="1:31" x14ac:dyDescent="0.25">
      <c r="A30" s="185"/>
      <c r="B30" s="185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</row>
    <row r="31" spans="1:31" x14ac:dyDescent="0.25">
      <c r="A31" s="185"/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</row>
    <row r="32" spans="1:31" x14ac:dyDescent="0.25">
      <c r="A32" s="185"/>
      <c r="B32" s="185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</row>
    <row r="33" spans="1:31" x14ac:dyDescent="0.25">
      <c r="A33" s="185"/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</row>
    <row r="34" spans="1:31" x14ac:dyDescent="0.25">
      <c r="A34" s="185"/>
      <c r="B34" s="185"/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</row>
    <row r="35" spans="1:31" x14ac:dyDescent="0.25">
      <c r="A35" s="185"/>
      <c r="B35" s="185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</row>
    <row r="36" spans="1:31" x14ac:dyDescent="0.25">
      <c r="A36" s="185"/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</row>
    <row r="37" spans="1:31" x14ac:dyDescent="0.25">
      <c r="A37" s="185"/>
      <c r="B37" s="185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</row>
    <row r="38" spans="1:31" x14ac:dyDescent="0.25">
      <c r="A38" s="185"/>
      <c r="B38" s="185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</row>
    <row r="39" spans="1:31" x14ac:dyDescent="0.25">
      <c r="A39" s="185"/>
      <c r="B39" s="185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</row>
    <row r="40" spans="1:31" x14ac:dyDescent="0.25">
      <c r="A40" s="185"/>
      <c r="B40" s="185"/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</row>
    <row r="41" spans="1:31" x14ac:dyDescent="0.25">
      <c r="A41" s="185"/>
      <c r="B41" s="185"/>
      <c r="C41" s="185"/>
      <c r="D41" s="185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</row>
    <row r="42" spans="1:31" x14ac:dyDescent="0.25">
      <c r="A42" s="185"/>
      <c r="B42" s="185"/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</row>
    <row r="43" spans="1:31" x14ac:dyDescent="0.25">
      <c r="A43" s="185"/>
      <c r="B43" s="185"/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</row>
    <row r="44" spans="1:31" x14ac:dyDescent="0.25">
      <c r="A44" s="185"/>
      <c r="B44" s="185"/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</row>
    <row r="45" spans="1:31" x14ac:dyDescent="0.25">
      <c r="A45" s="185"/>
      <c r="B45" s="185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</row>
    <row r="46" spans="1:31" x14ac:dyDescent="0.25">
      <c r="A46" s="185"/>
      <c r="B46" s="185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</row>
    <row r="47" spans="1:31" x14ac:dyDescent="0.25">
      <c r="A47" s="185"/>
      <c r="B47" s="185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</row>
    <row r="48" spans="1:31" x14ac:dyDescent="0.25">
      <c r="A48" s="185"/>
      <c r="B48" s="185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</row>
    <row r="49" spans="1:31" x14ac:dyDescent="0.25">
      <c r="A49" s="185"/>
      <c r="B49" s="185"/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</row>
    <row r="50" spans="1:31" x14ac:dyDescent="0.25">
      <c r="A50" s="185"/>
      <c r="B50" s="185"/>
      <c r="C50" s="185"/>
      <c r="D50" s="185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</row>
    <row r="51" spans="1:31" x14ac:dyDescent="0.25">
      <c r="A51" s="185"/>
      <c r="B51" s="185"/>
      <c r="C51" s="185"/>
      <c r="D51" s="185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</row>
    <row r="52" spans="1:31" x14ac:dyDescent="0.25">
      <c r="A52" s="185"/>
      <c r="B52" s="185"/>
      <c r="C52" s="185"/>
      <c r="D52" s="185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</row>
    <row r="53" spans="1:31" x14ac:dyDescent="0.25">
      <c r="A53" s="185"/>
      <c r="B53" s="185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</row>
    <row r="54" spans="1:31" x14ac:dyDescent="0.25">
      <c r="A54" s="185"/>
      <c r="B54" s="185"/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</row>
    <row r="55" spans="1:31" x14ac:dyDescent="0.25">
      <c r="A55" s="185"/>
      <c r="B55" s="185"/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</row>
    <row r="56" spans="1:31" x14ac:dyDescent="0.25">
      <c r="A56" s="185"/>
      <c r="B56" s="185"/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</row>
    <row r="57" spans="1:31" x14ac:dyDescent="0.25">
      <c r="A57" s="185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</row>
    <row r="58" spans="1:31" x14ac:dyDescent="0.25">
      <c r="A58" s="185"/>
      <c r="B58" s="185"/>
      <c r="C58" s="185"/>
      <c r="D58" s="185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</row>
    <row r="59" spans="1:31" x14ac:dyDescent="0.25">
      <c r="A59" s="185"/>
      <c r="B59" s="185"/>
      <c r="C59" s="185"/>
      <c r="D59" s="185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</row>
    <row r="60" spans="1:31" x14ac:dyDescent="0.25">
      <c r="A60" s="185"/>
      <c r="B60" s="185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</row>
    <row r="61" spans="1:31" x14ac:dyDescent="0.25">
      <c r="A61" s="185"/>
      <c r="B61" s="185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</row>
    <row r="62" spans="1:31" x14ac:dyDescent="0.25">
      <c r="A62" s="185"/>
      <c r="B62" s="185"/>
      <c r="C62" s="185"/>
      <c r="D62" s="185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</row>
  </sheetData>
  <sheetProtection algorithmName="SHA-512" hashValue="mg+9ebp53ew8pYZRlS1wlzPwg+NpoV1+o2oPZWl9Kr0avYedfTD5i1lXqjBkHN0FECVOKTG4MgQ5LuCRHgGA0A==" saltValue="6Wlr1f3rMb5O2lLhnn6GOw==" spinCount="100000" sheet="1" objects="1" scenarios="1"/>
  <phoneticPr fontId="33" type="noConversion"/>
  <hyperlinks>
    <hyperlink ref="C21" r:id="rId1" xr:uid="{A7535963-65D5-494F-93E3-7144454F37E7}"/>
    <hyperlink ref="C18" r:id="rId2" xr:uid="{A6040232-17C3-4405-B836-E627AB2D6E63}"/>
    <hyperlink ref="C14" r:id="rId3" xr:uid="{307B9886-8B9E-4087-8487-952BDA67795C}"/>
    <hyperlink ref="C17" r:id="rId4" xr:uid="{82642136-83A5-4E2C-8FEC-56F0681199CB}"/>
    <hyperlink ref="C16" r:id="rId5" xr:uid="{E66C4136-C12C-4F94-A139-64D4B4B11334}"/>
    <hyperlink ref="C20" r:id="rId6" xr:uid="{C99D8BF7-8DFF-425D-B3F1-105A57EC077E}"/>
    <hyperlink ref="C13" r:id="rId7" xr:uid="{A46795CD-5F41-4EA0-97A8-2082934381A4}"/>
  </hyperlinks>
  <pageMargins left="0.7" right="0.7" top="0.75" bottom="0.75" header="0.3" footer="0.3"/>
  <pageSetup orientation="portrait" horizontalDpi="0" verticalDpi="0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63</vt:i4>
      </vt:variant>
    </vt:vector>
  </HeadingPairs>
  <TitlesOfParts>
    <vt:vector size="70" baseType="lpstr">
      <vt:lpstr>Inputs&amp;Outputs</vt:lpstr>
      <vt:lpstr>Choices</vt:lpstr>
      <vt:lpstr>Calculations</vt:lpstr>
      <vt:lpstr>EPD</vt:lpstr>
      <vt:lpstr>Mortar</vt:lpstr>
      <vt:lpstr>Grout</vt:lpstr>
      <vt:lpstr>Assumptions</vt:lpstr>
      <vt:lpstr>BlockHeight</vt:lpstr>
      <vt:lpstr>BlockLength</vt:lpstr>
      <vt:lpstr>BlockNum</vt:lpstr>
      <vt:lpstr>BlockPerM2</vt:lpstr>
      <vt:lpstr>BlockShapeNum</vt:lpstr>
      <vt:lpstr>BlockSizeNum</vt:lpstr>
      <vt:lpstr>BlockTypeNum</vt:lpstr>
      <vt:lpstr>BlockUnitArea</vt:lpstr>
      <vt:lpstr>BlockUnitHeight</vt:lpstr>
      <vt:lpstr>BlockUnitLength</vt:lpstr>
      <vt:lpstr>ConcreteSandCO2</vt:lpstr>
      <vt:lpstr>CSandCO2</vt:lpstr>
      <vt:lpstr>CSandCO2Input</vt:lpstr>
      <vt:lpstr>FlyAshCO2</vt:lpstr>
      <vt:lpstr>Grout0CO2</vt:lpstr>
      <vt:lpstr>Grout2555CO2</vt:lpstr>
      <vt:lpstr>Grout25CO2</vt:lpstr>
      <vt:lpstr>Grout40CO2</vt:lpstr>
      <vt:lpstr>GroutChoice</vt:lpstr>
      <vt:lpstr>GroutCO2</vt:lpstr>
      <vt:lpstr>GroutDensity100PC</vt:lpstr>
      <vt:lpstr>GroutDensity25FA</vt:lpstr>
      <vt:lpstr>GroutDensity25FA55Slag</vt:lpstr>
      <vt:lpstr>GroutDensity40FA</vt:lpstr>
      <vt:lpstr>GroutType</vt:lpstr>
      <vt:lpstr>HorizontalRebarNumber</vt:lpstr>
      <vt:lpstr>InsThickness</vt:lpstr>
      <vt:lpstr>LimeCO2</vt:lpstr>
      <vt:lpstr>m3perft3</vt:lpstr>
      <vt:lpstr>M3ToFt3</vt:lpstr>
      <vt:lpstr>MortarJointDepth</vt:lpstr>
      <vt:lpstr>MortarJointWidth</vt:lpstr>
      <vt:lpstr>MortarMCO2</vt:lpstr>
      <vt:lpstr>MortarMDensity</vt:lpstr>
      <vt:lpstr>MortarSCO2</vt:lpstr>
      <vt:lpstr>MortarSDensity</vt:lpstr>
      <vt:lpstr>MortarTypeNumber</vt:lpstr>
      <vt:lpstr>MSandCO2</vt:lpstr>
      <vt:lpstr>MSandCO2Input</vt:lpstr>
      <vt:lpstr>NDCO2</vt:lpstr>
      <vt:lpstr>OPCCO2Grout</vt:lpstr>
      <vt:lpstr>OPCTypeNumberGrout</vt:lpstr>
      <vt:lpstr>PercentMasonrySand</vt:lpstr>
      <vt:lpstr>PercentPortlandCement</vt:lpstr>
      <vt:lpstr>RebarCO2</vt:lpstr>
      <vt:lpstr>Size</vt:lpstr>
      <vt:lpstr>SlagCO2</vt:lpstr>
      <vt:lpstr>SquareMetres</vt:lpstr>
      <vt:lpstr>ver</vt:lpstr>
      <vt:lpstr>VerticalRebarNumber</vt:lpstr>
      <vt:lpstr>VolThreeHundredDOE</vt:lpstr>
      <vt:lpstr>VolThreeHundredSOE</vt:lpstr>
      <vt:lpstr>VolTwoFiftyDOE</vt:lpstr>
      <vt:lpstr>VolTwoFiftySOE</vt:lpstr>
      <vt:lpstr>VolTwoHundredDOE</vt:lpstr>
      <vt:lpstr>VolTwoHundredSOE</vt:lpstr>
      <vt:lpstr>WallArea</vt:lpstr>
      <vt:lpstr>WallType</vt:lpstr>
      <vt:lpstr>WallTypeNum</vt:lpstr>
      <vt:lpstr>Waste</vt:lpstr>
      <vt:lpstr>Weight</vt:lpstr>
      <vt:lpstr>Zone</vt:lpstr>
      <vt:lpstr>ZoneNum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 Munro</cp:lastModifiedBy>
  <cp:lastPrinted>2017-06-16T15:19:04Z</cp:lastPrinted>
  <dcterms:created xsi:type="dcterms:W3CDTF">2017-03-16T16:31:00Z</dcterms:created>
  <dcterms:modified xsi:type="dcterms:W3CDTF">2025-06-09T19:55:36Z</dcterms:modified>
</cp:coreProperties>
</file>